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70" windowHeight="5865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'Foglio2'!$A:$IV</definedName>
  </definedNames>
  <calcPr fullCalcOnLoad="1"/>
</workbook>
</file>

<file path=xl/sharedStrings.xml><?xml version="1.0" encoding="utf-8"?>
<sst xmlns="http://schemas.openxmlformats.org/spreadsheetml/2006/main" count="2640" uniqueCount="610">
  <si>
    <t>BRINDISI</t>
  </si>
  <si>
    <t>TIPOLOGIA</t>
  </si>
  <si>
    <t>PARTITA</t>
  </si>
  <si>
    <t>FOGLIO</t>
  </si>
  <si>
    <t>SUB.</t>
  </si>
  <si>
    <t>CATEGORIA</t>
  </si>
  <si>
    <t>CLASSE</t>
  </si>
  <si>
    <t xml:space="preserve">  CONS.</t>
  </si>
  <si>
    <t>Immobile</t>
  </si>
  <si>
    <t>Commerciale</t>
  </si>
  <si>
    <t>Fitto-Pisani Attilio</t>
  </si>
  <si>
    <t xml:space="preserve">Viale Commenda,96  p.t.                </t>
  </si>
  <si>
    <t xml:space="preserve">      C/2 </t>
  </si>
  <si>
    <t>Fitto-Eredi Tedesco L.</t>
  </si>
  <si>
    <t>Piazza Sedile,8  p.t.</t>
  </si>
  <si>
    <t xml:space="preserve">      C/1</t>
  </si>
  <si>
    <t>Opificio</t>
  </si>
  <si>
    <t>Sfitto-Ex Ciccolella  prop.1/6</t>
  </si>
  <si>
    <t>Via Osanna angolo via S.Leucio p.t.</t>
  </si>
  <si>
    <t xml:space="preserve">      D/1</t>
  </si>
  <si>
    <t>Terreni</t>
  </si>
  <si>
    <t>F.U. da accertare</t>
  </si>
  <si>
    <t>B/4</t>
  </si>
  <si>
    <t>U</t>
  </si>
  <si>
    <t>B/1</t>
  </si>
  <si>
    <t>Terreno</t>
  </si>
  <si>
    <t xml:space="preserve">      B/2</t>
  </si>
  <si>
    <t>Via Taranto,90 p.t.-1°</t>
  </si>
  <si>
    <t>P.M.P.</t>
  </si>
  <si>
    <t>Via Galante trav. Via S.Angelo   p.t.-1°-2°</t>
  </si>
  <si>
    <t xml:space="preserve">      B/5</t>
  </si>
  <si>
    <t>Via Galante trav. Via S.Angelo   p.s1</t>
  </si>
  <si>
    <t xml:space="preserve">      D/7</t>
  </si>
  <si>
    <t>Piazza Santa Teresa,5  p.t.</t>
  </si>
  <si>
    <t xml:space="preserve">      B/4</t>
  </si>
  <si>
    <t>Piazza Santa Teresa,5  p.1°</t>
  </si>
  <si>
    <t xml:space="preserve">      A/3</t>
  </si>
  <si>
    <t>Via Nazario Sauro  p.s1</t>
  </si>
  <si>
    <t xml:space="preserve">      A/4</t>
  </si>
  <si>
    <t>Via Nazario Sauro  p.t.-1°-2°</t>
  </si>
  <si>
    <t>Via Nazario Sauro  p.2°</t>
  </si>
  <si>
    <t xml:space="preserve">      A/2</t>
  </si>
  <si>
    <t>32/254/287/417</t>
  </si>
  <si>
    <t xml:space="preserve">Terreno </t>
  </si>
  <si>
    <t>Fitto ex Fond.N. Melli</t>
  </si>
  <si>
    <t>Località Guarini</t>
  </si>
  <si>
    <t>Seminativo</t>
  </si>
  <si>
    <t>01,99,80</t>
  </si>
  <si>
    <t>02,68,12</t>
  </si>
  <si>
    <t xml:space="preserve">01,04,48 </t>
  </si>
  <si>
    <t>02,51,20</t>
  </si>
  <si>
    <t>01,10,40</t>
  </si>
  <si>
    <t>CAROVIGNO</t>
  </si>
  <si>
    <t>B/7</t>
  </si>
  <si>
    <t>A/3</t>
  </si>
  <si>
    <t>Ficheto</t>
  </si>
  <si>
    <t>00,47,47</t>
  </si>
  <si>
    <t>Uliveto</t>
  </si>
  <si>
    <t>00,09,32</t>
  </si>
  <si>
    <t>00,09,00</t>
  </si>
  <si>
    <t>00,36,51</t>
  </si>
  <si>
    <t>Sfitto-Suolo edificatorio</t>
  </si>
  <si>
    <t>Santa Sabina, via Sele</t>
  </si>
  <si>
    <t>Pascolo</t>
  </si>
  <si>
    <t>00,20,00</t>
  </si>
  <si>
    <t>A/7</t>
  </si>
  <si>
    <t>Sem.Arb.</t>
  </si>
  <si>
    <t>05,49,14</t>
  </si>
  <si>
    <t>00,11,01</t>
  </si>
  <si>
    <t>00,10,22</t>
  </si>
  <si>
    <t>00,04,40</t>
  </si>
  <si>
    <t>Civile</t>
  </si>
  <si>
    <t xml:space="preserve">Sfitto - Immobile </t>
  </si>
  <si>
    <t>Via Pietro Elia,20 p.t.</t>
  </si>
  <si>
    <t>C/6</t>
  </si>
  <si>
    <t>Sfitto - Abitazione</t>
  </si>
  <si>
    <t>Via Pietro Elia,22 p.t.</t>
  </si>
  <si>
    <t>A/5</t>
  </si>
  <si>
    <t>Pres.Ospedaliero</t>
  </si>
  <si>
    <t>B/2</t>
  </si>
  <si>
    <t>Fitto Ligorio Grazia</t>
  </si>
  <si>
    <t>Via Vico II Santoro Urgesi,50 p.t.</t>
  </si>
  <si>
    <t>Civile -Locale</t>
  </si>
  <si>
    <t>Sfitto-ex Fumarola A.</t>
  </si>
  <si>
    <t>Via Vico III Santoro Urgesi,35 p.t.</t>
  </si>
  <si>
    <t>Fitto Polizia Urbana</t>
  </si>
  <si>
    <t>Piazza Plebiscito,9 p.1°-2°</t>
  </si>
  <si>
    <t>A/2</t>
  </si>
  <si>
    <t>Fitto Avv.Gianfreda</t>
  </si>
  <si>
    <t>Piazza Plebiscito,10 p.t</t>
  </si>
  <si>
    <t>C/1</t>
  </si>
  <si>
    <t>Fitto Pepe Arcangelo</t>
  </si>
  <si>
    <t>Via Dante,2 p.t.</t>
  </si>
  <si>
    <t>Utilizzato AVIS-SER</t>
  </si>
  <si>
    <t>Via Dante,4 p.t.</t>
  </si>
  <si>
    <t>Sfitto</t>
  </si>
  <si>
    <t>Via Dante,6 p.t.</t>
  </si>
  <si>
    <t>Civile -Abit.</t>
  </si>
  <si>
    <t>Fitto Argentiero A.</t>
  </si>
  <si>
    <t>Via Cappuccini,16-V.co Cappuc.pt</t>
  </si>
  <si>
    <t>A/4</t>
  </si>
  <si>
    <t>Via Cappuccini,18 p.1°</t>
  </si>
  <si>
    <t>Fitto Chirico Rocco</t>
  </si>
  <si>
    <t>Vico 2° Cappuccini, 7 p.t.</t>
  </si>
  <si>
    <t>Fitto Gioia Luisa</t>
  </si>
  <si>
    <t>Vico 2° Cappuccini, 15 p.t.</t>
  </si>
  <si>
    <t>Fabb.Rurale</t>
  </si>
  <si>
    <t>C.da Lamarina</t>
  </si>
  <si>
    <t>Fab.Rurale</t>
  </si>
  <si>
    <t xml:space="preserve"> </t>
  </si>
  <si>
    <t>00.00.88</t>
  </si>
  <si>
    <t>00.71.32</t>
  </si>
  <si>
    <t xml:space="preserve">          (  rendita   presunta  )</t>
  </si>
  <si>
    <t xml:space="preserve">Via S.Antonio Abate ps1-t </t>
  </si>
  <si>
    <t>Via Ospedale Vecchio 12 p.t.</t>
  </si>
  <si>
    <t>B/5</t>
  </si>
  <si>
    <t>Masseria S. Angelo p.t.</t>
  </si>
  <si>
    <t>Fabb.Rur.</t>
  </si>
  <si>
    <t>00,01,56</t>
  </si>
  <si>
    <t>C.da Pezze S.Angelo</t>
  </si>
  <si>
    <t>00.64.76</t>
  </si>
  <si>
    <t>Pasc.Cesp.</t>
  </si>
  <si>
    <t>00,45,53</t>
  </si>
  <si>
    <t>Sem.Arbor.</t>
  </si>
  <si>
    <t>05,30,50</t>
  </si>
  <si>
    <t>Suolo Edif.</t>
  </si>
  <si>
    <t>Zona P.I.P.</t>
  </si>
  <si>
    <t>00,11,22</t>
  </si>
  <si>
    <t>C.da S.Angelo</t>
  </si>
  <si>
    <t>00,03,31</t>
  </si>
  <si>
    <t>Fondo Chimienti</t>
  </si>
  <si>
    <t>Vigneto</t>
  </si>
  <si>
    <t>CISTERNINO</t>
  </si>
  <si>
    <t>ERCHIE</t>
  </si>
  <si>
    <t>Poliambulatorio</t>
  </si>
  <si>
    <t>FASANO</t>
  </si>
  <si>
    <t>Fitto Fusillo Mario</t>
  </si>
  <si>
    <t>C.da Speziale</t>
  </si>
  <si>
    <t>03,51,30</t>
  </si>
  <si>
    <t>Speziale Piccolo</t>
  </si>
  <si>
    <t>Frutteto</t>
  </si>
  <si>
    <t>00,10,15</t>
  </si>
  <si>
    <t>00,00,80</t>
  </si>
  <si>
    <t>02,81,07</t>
  </si>
  <si>
    <t>00,24,79</t>
  </si>
  <si>
    <t>Mandorleto</t>
  </si>
  <si>
    <t>07,74,50</t>
  </si>
  <si>
    <t>Semin.Arb.</t>
  </si>
  <si>
    <t>02,87,54</t>
  </si>
  <si>
    <t>06,35,60</t>
  </si>
  <si>
    <t>00,19,87</t>
  </si>
  <si>
    <t>00,03,51</t>
  </si>
  <si>
    <t>00,46,86</t>
  </si>
  <si>
    <t>Fitto Caramia F.lli</t>
  </si>
  <si>
    <t>C.da Salamina</t>
  </si>
  <si>
    <t>00,05,98</t>
  </si>
  <si>
    <t>Signora Pulita</t>
  </si>
  <si>
    <t>04,30,00</t>
  </si>
  <si>
    <t>02,62,43</t>
  </si>
  <si>
    <t>02,98,89</t>
  </si>
  <si>
    <t>02,55,61</t>
  </si>
  <si>
    <t>04,91,73</t>
  </si>
  <si>
    <t>04,42,81</t>
  </si>
  <si>
    <t>02,98,21</t>
  </si>
  <si>
    <t>06,08,14</t>
  </si>
  <si>
    <t>09,27,90</t>
  </si>
  <si>
    <t>05,86,46</t>
  </si>
  <si>
    <t>03,48,52</t>
  </si>
  <si>
    <t>00,12,40</t>
  </si>
  <si>
    <t>00,69,46</t>
  </si>
  <si>
    <t>08,36,87</t>
  </si>
  <si>
    <t>02,81,11</t>
  </si>
  <si>
    <t xml:space="preserve">Seminativo </t>
  </si>
  <si>
    <t>01,13,03</t>
  </si>
  <si>
    <t>Fabb.Urb.</t>
  </si>
  <si>
    <t>01,07,97</t>
  </si>
  <si>
    <t>01,04,94</t>
  </si>
  <si>
    <t>01,83,11</t>
  </si>
  <si>
    <t>05,99,16</t>
  </si>
  <si>
    <t>00,00,46</t>
  </si>
  <si>
    <t>08,89,50</t>
  </si>
  <si>
    <t>00,55,68</t>
  </si>
  <si>
    <t>06,62,50</t>
  </si>
  <si>
    <t>01,14,37</t>
  </si>
  <si>
    <t>03,86,81</t>
  </si>
  <si>
    <t>03,16,34</t>
  </si>
  <si>
    <t>01,66,45</t>
  </si>
  <si>
    <t>02,03,99</t>
  </si>
  <si>
    <t>01,15,55</t>
  </si>
  <si>
    <t>05,40,95</t>
  </si>
  <si>
    <t>C.da Salamina p.t.</t>
  </si>
  <si>
    <t>Fitto Natola Eleonora</t>
  </si>
  <si>
    <t>Via Bonifacio,33 p.1°</t>
  </si>
  <si>
    <t>Sfitto-Occupato abusivo</t>
  </si>
  <si>
    <t>Via L'Assunta,28 p.1°</t>
  </si>
  <si>
    <t>Via L'Assunta,30 p.t.</t>
  </si>
  <si>
    <t>2322/2328</t>
  </si>
  <si>
    <t>1 e 2</t>
  </si>
  <si>
    <t>Selva di Fasano,viale Toledo p.t.</t>
  </si>
  <si>
    <t>Area scoperta</t>
  </si>
  <si>
    <t>C/2</t>
  </si>
  <si>
    <t>Selva di Fasano, viale Toledo (giardino)</t>
  </si>
  <si>
    <t>P.O.Umberto I°</t>
  </si>
  <si>
    <t>Orto</t>
  </si>
  <si>
    <t>00,01,35</t>
  </si>
  <si>
    <t>Via G.Attoma angolo via L. De Mola</t>
  </si>
  <si>
    <t>00,54,90</t>
  </si>
  <si>
    <t xml:space="preserve">P.O. "vecchio" </t>
  </si>
  <si>
    <t>Ente Urbano</t>
  </si>
  <si>
    <t>Consultorio Familiare</t>
  </si>
  <si>
    <t>Via A.B.Forleo,22 p.t-1s</t>
  </si>
  <si>
    <t>P.O. "nuovo"</t>
  </si>
  <si>
    <t>Prov/le per Ceglie M.p.1s-t-1°-2°-3°</t>
  </si>
  <si>
    <t>Fitto</t>
  </si>
  <si>
    <t>C.da Difesa</t>
  </si>
  <si>
    <t>01,33,70</t>
  </si>
  <si>
    <t>C.da Pane e Passole</t>
  </si>
  <si>
    <t>01,32,75</t>
  </si>
  <si>
    <t>P.O. Camberlingo</t>
  </si>
  <si>
    <t>Prov/le per Ceglie Messapica</t>
  </si>
  <si>
    <t>Incolt.Prod.</t>
  </si>
  <si>
    <t>00,28,80</t>
  </si>
  <si>
    <t>02,10,70</t>
  </si>
  <si>
    <t>00,48,32</t>
  </si>
  <si>
    <t>01,33,13</t>
  </si>
  <si>
    <t>00,76,70</t>
  </si>
  <si>
    <t>00,36,10</t>
  </si>
  <si>
    <t>C.da Perito Beneficio</t>
  </si>
  <si>
    <t>02,04,30</t>
  </si>
  <si>
    <t>01,38,56</t>
  </si>
  <si>
    <t>01,33,46</t>
  </si>
  <si>
    <t>01,32,98</t>
  </si>
  <si>
    <t>00,68,24</t>
  </si>
  <si>
    <t>01,34,16</t>
  </si>
  <si>
    <t>LATIANO</t>
  </si>
  <si>
    <t>C.da Romatizza</t>
  </si>
  <si>
    <t>00,15,39</t>
  </si>
  <si>
    <t>00,61,14</t>
  </si>
  <si>
    <t>00,01,04</t>
  </si>
  <si>
    <t>00,00,58</t>
  </si>
  <si>
    <t>MESAGNE</t>
  </si>
  <si>
    <t>Fitto Salamina Domenico</t>
  </si>
  <si>
    <t>Via G.Farnese,7 p.t.</t>
  </si>
  <si>
    <t>C/3</t>
  </si>
  <si>
    <t xml:space="preserve">Piazza Commestibili,10  p.t. </t>
  </si>
  <si>
    <t xml:space="preserve">Piazza Commestibili,11  p.t. </t>
  </si>
  <si>
    <t xml:space="preserve">Piazza Commestibili,12  p.t. </t>
  </si>
  <si>
    <t xml:space="preserve">Piazza Commestibili,13  p.t. </t>
  </si>
  <si>
    <t xml:space="preserve">Piazza Commestibili,8-9  p.t. </t>
  </si>
  <si>
    <t xml:space="preserve">Piazza Commestibili,18 p.t. </t>
  </si>
  <si>
    <t>D/1</t>
  </si>
  <si>
    <t>00,03,69</t>
  </si>
  <si>
    <t>00,05,51</t>
  </si>
  <si>
    <t>ORIA</t>
  </si>
  <si>
    <t>OSTUNI</t>
  </si>
  <si>
    <t>C.da Trappeto del Monte p.t.-1°2°3°</t>
  </si>
  <si>
    <t>C.da Trappeto del Monte p.t.</t>
  </si>
  <si>
    <t>C.da Trappeto del Monte p.1°</t>
  </si>
  <si>
    <t>C.da Trappeto del Monte p.t.-1°</t>
  </si>
  <si>
    <t>Trappeto del Monte</t>
  </si>
  <si>
    <t>C.da Trappeto del Monte</t>
  </si>
  <si>
    <t>00,13,20</t>
  </si>
  <si>
    <t>Via Pentima della Volpe, p.t.</t>
  </si>
  <si>
    <t>Via Pentima della Volpe, p.s1</t>
  </si>
  <si>
    <t>00,10,66</t>
  </si>
  <si>
    <t>Comune-Ospizio</t>
  </si>
  <si>
    <t>Via Brancasi,62 p.t.</t>
  </si>
  <si>
    <t>Fitto Saponaro Francesco</t>
  </si>
  <si>
    <t>Via Continelli, 37/A p.t.-1°</t>
  </si>
  <si>
    <t>Via Continelli, 37/D p.1°</t>
  </si>
  <si>
    <t>Fitto Roma Rosa</t>
  </si>
  <si>
    <t>Via Santalari,12 p.t.-1°</t>
  </si>
  <si>
    <t>Fitto Indiano</t>
  </si>
  <si>
    <t>Via Cassiodoro,18 p.t.</t>
  </si>
  <si>
    <t>Via Villafranca-Miccoli p.s1-t-1-2-3-4</t>
  </si>
  <si>
    <t>Via Villafranca p.t.</t>
  </si>
  <si>
    <t>C.da Acquarella</t>
  </si>
  <si>
    <t>00,38,92</t>
  </si>
  <si>
    <t>C.da S.Demetrio</t>
  </si>
  <si>
    <t>00,26,50</t>
  </si>
  <si>
    <t>00,23,00</t>
  </si>
  <si>
    <t>00,09,64</t>
  </si>
  <si>
    <t>C.da Lardagnano</t>
  </si>
  <si>
    <t>19,36,58</t>
  </si>
  <si>
    <t>05,95,31</t>
  </si>
  <si>
    <t>00,00,87</t>
  </si>
  <si>
    <t>C.da Locopagliara</t>
  </si>
  <si>
    <t>01,44,35</t>
  </si>
  <si>
    <t>03,81,70</t>
  </si>
  <si>
    <t>03,70,74</t>
  </si>
  <si>
    <t>00,30,19</t>
  </si>
  <si>
    <t>00,04,84</t>
  </si>
  <si>
    <t>Porz.Fabbr.Rur</t>
  </si>
  <si>
    <t>00,09,44</t>
  </si>
  <si>
    <t>00,02,08</t>
  </si>
  <si>
    <t>09,21,24</t>
  </si>
  <si>
    <t>00,19,72</t>
  </si>
  <si>
    <t>00,75,04</t>
  </si>
  <si>
    <t>C.da Locopagliara p.s1</t>
  </si>
  <si>
    <t>C.da Locopagliara p.1°</t>
  </si>
  <si>
    <t>C.da Foragno</t>
  </si>
  <si>
    <t>00,79,49</t>
  </si>
  <si>
    <t>00,00,93</t>
  </si>
  <si>
    <t>00,28,67</t>
  </si>
  <si>
    <t>01,30,40</t>
  </si>
  <si>
    <t>C.da Foragno p.t</t>
  </si>
  <si>
    <t>C.da Foragno p.1°</t>
  </si>
  <si>
    <t>Via V.Emanuele III,266 p.t.</t>
  </si>
  <si>
    <t>Fitto Carrozzo Lina</t>
  </si>
  <si>
    <t>Via S.Pietro, 65 p.t.</t>
  </si>
  <si>
    <t>470/471</t>
  </si>
  <si>
    <t>Via Volturno,11 (è sempre una parte dell'immobile di via S.Pietro 65 periziato separatamente perche suddiviso in due parti)</t>
  </si>
  <si>
    <t>Via S.Pietro,47-Via Volturno 5,7 p.t.</t>
  </si>
  <si>
    <t>470/1262</t>
  </si>
  <si>
    <t>Via S.Pietro,61 p.t.</t>
  </si>
  <si>
    <t>Via S.Pietro,63 p.t.</t>
  </si>
  <si>
    <t>Fitto Sissi C.-Romano P.</t>
  </si>
  <si>
    <t>Via S.Pietro,45 p.t.</t>
  </si>
  <si>
    <t>473/1255</t>
  </si>
  <si>
    <t>Sissi Concetta-Romano Franco</t>
  </si>
  <si>
    <t>Fitto Verzienti Franco</t>
  </si>
  <si>
    <t>Via S.Pietro,35 p.t.</t>
  </si>
  <si>
    <t>1253/1254</t>
  </si>
  <si>
    <t>Via Volturno,9 p.1°</t>
  </si>
  <si>
    <t>Fitto Calò Sandro</t>
  </si>
  <si>
    <t>Via S.Pietro,37-39 p.t.</t>
  </si>
  <si>
    <t>Fitto Politi Fernando,ecc.</t>
  </si>
  <si>
    <t>Via S.Pietro,49 p.1°</t>
  </si>
  <si>
    <t>1253/1262</t>
  </si>
  <si>
    <t>Merico Rosanna, Angeletti Vincenzo</t>
  </si>
  <si>
    <t>Fitto Massari Vincenza</t>
  </si>
  <si>
    <t>Via S.Pietro,69 p.t.</t>
  </si>
  <si>
    <t>Fitto Bracciale Pietro</t>
  </si>
  <si>
    <t>Via S.Pietro,71 p.1° e 2°</t>
  </si>
  <si>
    <t>Fitto Cons.Guard.Camp.</t>
  </si>
  <si>
    <t>Via S.Pietro,51,53,55 p.t.</t>
  </si>
  <si>
    <t>469/1262</t>
  </si>
  <si>
    <t>Fitto Saponaro Giovanni</t>
  </si>
  <si>
    <t>Via S.Pietro,51,53,55 p.t. (è sempre una parte dell'immobile di via S.Pietro 51,53,55 periziato separatamente perche suddiviso in due parti)</t>
  </si>
  <si>
    <t>Fitto Invidia Rinaldo</t>
  </si>
  <si>
    <t>Via S.Pietro,37 p.t.</t>
  </si>
  <si>
    <t>Fitto Greco Cosima</t>
  </si>
  <si>
    <t>Via Carrozzo,74 p.t.</t>
  </si>
  <si>
    <t>Fitto Coop.La Primavera</t>
  </si>
  <si>
    <t>Pzza XXIII Ottobre,39-40 ora Del Popolo p.t.</t>
  </si>
  <si>
    <t>Fitto Comitato Feste Patr.</t>
  </si>
  <si>
    <t>Pzza XXIII Ottobre ora Del Popolo,38 p.t.</t>
  </si>
  <si>
    <t>Via G.Ellena,8 p.1°</t>
  </si>
  <si>
    <t>Fitto Saponaro Maria</t>
  </si>
  <si>
    <t>Via G.Ellena,10 p.t</t>
  </si>
  <si>
    <t>Fitto AVIS</t>
  </si>
  <si>
    <t>Via Milano,2 ang.via G.Ellena 12p.t.</t>
  </si>
  <si>
    <t>Fitto Pennetta Enrico</t>
  </si>
  <si>
    <t>Via Beccaria,5 p.t.</t>
  </si>
  <si>
    <t>Fitto Iaconis Cesare</t>
  </si>
  <si>
    <t>Via Beccaria,11 p.t.</t>
  </si>
  <si>
    <t>Fitto Saponaro Paolo</t>
  </si>
  <si>
    <t>Via Beccaria,13 p.t.</t>
  </si>
  <si>
    <t>354/1219/1220</t>
  </si>
  <si>
    <t>Fitto Pascarito Antonio</t>
  </si>
  <si>
    <t>Via Beccaria,15 p.t.  (è sempre una parte dell'immobile di via Beccaria n.13 p.t. periziato separatemente perché suddiviso in due parti)</t>
  </si>
  <si>
    <t>P.O."N.Melli"</t>
  </si>
  <si>
    <t xml:space="preserve">Via Lecce,246 p.t. </t>
  </si>
  <si>
    <t>Abusivi D'Ostuni ecc.</t>
  </si>
  <si>
    <t>Via Pisanelli,1 p.t.</t>
  </si>
  <si>
    <t>D'Ostuni Patrizia-Colluccello Anna</t>
  </si>
  <si>
    <t>Via Pisanelli, 9 p.t.</t>
  </si>
  <si>
    <t>Vigilanza cani randagi</t>
  </si>
  <si>
    <t>Fitto Quarta Romolo</t>
  </si>
  <si>
    <t>Via Pisanelli, 3 p.t.</t>
  </si>
  <si>
    <t>Fitto Marangio Vittorio</t>
  </si>
  <si>
    <t>Piazza Margherita,25 p.t.</t>
  </si>
  <si>
    <t>C.I.S.</t>
  </si>
  <si>
    <t>Via S'Antonio 149 p.t.</t>
  </si>
  <si>
    <t>Fitto Cocciolo Anna</t>
  </si>
  <si>
    <t>Fondo Ora Grande</t>
  </si>
  <si>
    <t>00,98.51</t>
  </si>
  <si>
    <t>AUSL in economia</t>
  </si>
  <si>
    <t>Fondo Ora Piccolo</t>
  </si>
  <si>
    <t>00,54,48</t>
  </si>
  <si>
    <t>Via Sicilia</t>
  </si>
  <si>
    <t>00,11,61</t>
  </si>
  <si>
    <t>00,01,21</t>
  </si>
  <si>
    <t xml:space="preserve">Azienda N. Melli </t>
  </si>
  <si>
    <t>Fondo Guarini</t>
  </si>
  <si>
    <t>13,79,74</t>
  </si>
  <si>
    <t>04,84,73</t>
  </si>
  <si>
    <t>04,93,05</t>
  </si>
  <si>
    <t>00,19,33</t>
  </si>
  <si>
    <t>03,96,36</t>
  </si>
  <si>
    <t>03,57,60</t>
  </si>
  <si>
    <t>00,35,20</t>
  </si>
  <si>
    <t>04,05,30</t>
  </si>
  <si>
    <t>00,56,18</t>
  </si>
  <si>
    <t>03,26,20</t>
  </si>
  <si>
    <t>03,18,31</t>
  </si>
  <si>
    <t>02,36,50</t>
  </si>
  <si>
    <t>Bosco misto</t>
  </si>
  <si>
    <t>12,95,34</t>
  </si>
  <si>
    <t>21,68,40</t>
  </si>
  <si>
    <t>25,43,19</t>
  </si>
  <si>
    <t>00,58,99</t>
  </si>
  <si>
    <t>00,87,04</t>
  </si>
  <si>
    <t>00,40,07</t>
  </si>
  <si>
    <t>00,20,80</t>
  </si>
  <si>
    <t>12,50,93</t>
  </si>
  <si>
    <t>02,95,90</t>
  </si>
  <si>
    <t>04,81,70</t>
  </si>
  <si>
    <t>01,53,80</t>
  </si>
  <si>
    <t>01,50,50</t>
  </si>
  <si>
    <t>00,92,85</t>
  </si>
  <si>
    <t>07,65,00</t>
  </si>
  <si>
    <t>14,88,02</t>
  </si>
  <si>
    <t>03,75,90</t>
  </si>
  <si>
    <t>01,92,80</t>
  </si>
  <si>
    <t>01,51,40</t>
  </si>
  <si>
    <t>00,37,50</t>
  </si>
  <si>
    <t>02,04,70</t>
  </si>
  <si>
    <t>00,35,50</t>
  </si>
  <si>
    <t>00,38,30</t>
  </si>
  <si>
    <t>00,54,00</t>
  </si>
  <si>
    <t>01,13,00</t>
  </si>
  <si>
    <t>01,83,00</t>
  </si>
  <si>
    <t>12,16,90</t>
  </si>
  <si>
    <t>06,40,30</t>
  </si>
  <si>
    <t>Fitto Chirirì Cosimo,ecc.</t>
  </si>
  <si>
    <t>Fondo Nela</t>
  </si>
  <si>
    <t>01,59,64</t>
  </si>
  <si>
    <t>Vicentelli Angelo</t>
  </si>
  <si>
    <t>P.O. N.Melli</t>
  </si>
  <si>
    <t>SS.16</t>
  </si>
  <si>
    <t>01,74,48</t>
  </si>
  <si>
    <t>00,00,25</t>
  </si>
  <si>
    <t>Ex Dispensario</t>
  </si>
  <si>
    <t>Via Oberdan</t>
  </si>
  <si>
    <t>Fitto Calò Domenico</t>
  </si>
  <si>
    <t>Fondo Benefizio ex Fond.Melli</t>
  </si>
  <si>
    <t>00,59,19</t>
  </si>
  <si>
    <t>Fondo Benefizio</t>
  </si>
  <si>
    <t>00,51,50</t>
  </si>
  <si>
    <t>Fitto Melechi Giovanni</t>
  </si>
  <si>
    <t>C.da S. Giacomo</t>
  </si>
  <si>
    <t>06,39,64</t>
  </si>
  <si>
    <t>00,59,85</t>
  </si>
  <si>
    <t>00,77,00</t>
  </si>
  <si>
    <t>00,33,40</t>
  </si>
  <si>
    <t>01,52,70</t>
  </si>
  <si>
    <t>00,00,90</t>
  </si>
  <si>
    <t>CEGLIE MESSAPICA</t>
  </si>
  <si>
    <t>TERRENI AGRARI</t>
  </si>
  <si>
    <t>IMMOBILI CIVILI</t>
  </si>
  <si>
    <t>IMMOBILI COMMERCIALI</t>
  </si>
  <si>
    <t>IMMOBILI ISTITUZIONALI</t>
  </si>
  <si>
    <t>Rendita Catastale</t>
  </si>
  <si>
    <t>Reddito Dominicale</t>
  </si>
  <si>
    <t>Reddito Agrario</t>
  </si>
  <si>
    <t>TERRENI</t>
  </si>
  <si>
    <t xml:space="preserve">                    FABBRICATI</t>
  </si>
  <si>
    <t>CELLINO S.MARCO</t>
  </si>
  <si>
    <t>FRANCAVILLA F.</t>
  </si>
  <si>
    <t>S.MICHELE SAL.</t>
  </si>
  <si>
    <t>S.PANCRAZIO SAL.</t>
  </si>
  <si>
    <t>S.PIETRO V.</t>
  </si>
  <si>
    <t>S.VITO DEI NORM.</t>
  </si>
  <si>
    <t>TORCHIAROLO</t>
  </si>
  <si>
    <t>TORRE S.SUSANNA</t>
  </si>
  <si>
    <t>VILLA CASTELLI</t>
  </si>
  <si>
    <t>AZIENDA U.S.L. BR/1</t>
  </si>
  <si>
    <t>RENDITA/Red.Dom.</t>
  </si>
  <si>
    <t>00,00,30</t>
  </si>
  <si>
    <t>03,78,10</t>
  </si>
  <si>
    <t>00,04,66</t>
  </si>
  <si>
    <t>03,05,69</t>
  </si>
  <si>
    <t>00,81,70</t>
  </si>
  <si>
    <t>01,00,40</t>
  </si>
  <si>
    <t>00,96,64</t>
  </si>
  <si>
    <t>00,08,03</t>
  </si>
  <si>
    <t xml:space="preserve"> INDIRIZZO</t>
  </si>
  <si>
    <t>DESCRIZIONE</t>
  </si>
  <si>
    <t>DESTINAZIONE</t>
  </si>
  <si>
    <t>PARTICELLA</t>
  </si>
  <si>
    <t xml:space="preserve">   RIEPILOGO</t>
  </si>
  <si>
    <t>ex P.O.C.Braico prop.50%</t>
  </si>
  <si>
    <t>Via Appia p.s1-t-1°-2°-3°</t>
  </si>
  <si>
    <t>Via Appia  Parco</t>
  </si>
  <si>
    <t>04,23,50</t>
  </si>
  <si>
    <t>00,68,50</t>
  </si>
  <si>
    <t>Via Casimiro n.44  p.s1-t.-1°</t>
  </si>
  <si>
    <t>Via Napoli n.8  p.s1-1°-2°-3°-4°</t>
  </si>
  <si>
    <t>Totale rendita fabbricati+terreni</t>
  </si>
  <si>
    <t>Largo Cappuccini,9  p.s1-t-1°-2°-3°-4°-5°-6°</t>
  </si>
  <si>
    <t>Via Regina Margherita n.82 p.s1-t-1°-2°</t>
  </si>
  <si>
    <t>Via Pinto,52 p.t.-1°-2°-3°</t>
  </si>
  <si>
    <t>SS16 Adriatica Km.867.500 p.1-2</t>
  </si>
  <si>
    <t>SS16 Adriatica Km.867.500 p.s1-t</t>
  </si>
  <si>
    <t>SS16 Adriatica Km.867.500 p.t.</t>
  </si>
  <si>
    <t>SS16 Adriatica Km.867.500 p.t.-1</t>
  </si>
  <si>
    <t>Servizio Igiene Pubblica</t>
  </si>
  <si>
    <t>Consultorio familiare</t>
  </si>
  <si>
    <t>Uffici e poliambulatori</t>
  </si>
  <si>
    <t>Dipartimento Handicap</t>
  </si>
  <si>
    <t>Fitto Laneve Francesco</t>
  </si>
  <si>
    <t>Fitto Casalino Pasquale</t>
  </si>
  <si>
    <t>P.O. e Poliambulatori</t>
  </si>
  <si>
    <t>Presidio Ospedaliero</t>
  </si>
  <si>
    <t>Sfitto - Suolo edificatorio</t>
  </si>
  <si>
    <t>IMMOBILI SITI NEL COMUNE DI BRINDISI</t>
  </si>
  <si>
    <t xml:space="preserve">VALORE PERIZIATO </t>
  </si>
  <si>
    <t>VALORE CATASTALE</t>
  </si>
  <si>
    <t>Euro</t>
  </si>
  <si>
    <t>Istituzionale</t>
  </si>
  <si>
    <t>Piazza Raffaello n.18 p.t.</t>
  </si>
  <si>
    <t xml:space="preserve"> B/2</t>
  </si>
  <si>
    <t>agg.ISTAT 2002 - Euro</t>
  </si>
  <si>
    <t xml:space="preserve">1131/1461 </t>
  </si>
  <si>
    <t>255/262</t>
  </si>
  <si>
    <t>Consultorio familiare S.Elia</t>
  </si>
  <si>
    <t>Via Dalmazia n.3 p.s1- p.t.-1°-2°-3°-4°-5°-6°</t>
  </si>
  <si>
    <t xml:space="preserve">Piazza Raffaello </t>
  </si>
  <si>
    <t>00,48,14</t>
  </si>
  <si>
    <t>IMMOBILI SITI NEL COMUNE DI CAROVIGNO</t>
  </si>
  <si>
    <t>Via Extramurale Santa Sabina ps1-t</t>
  </si>
  <si>
    <t>Via Ostuni n.2  p.s1-t-1°-2°</t>
  </si>
  <si>
    <t xml:space="preserve">Via Extramurale Santa Sabina p.t.-1° </t>
  </si>
  <si>
    <t>Via Ostuni n.2 p.t.</t>
  </si>
  <si>
    <t>IMMOBILI SITI NEL COMUNE DI CEGLIE MESSAPICA</t>
  </si>
  <si>
    <t>Ist.Del Prete(alloggio custode)</t>
  </si>
  <si>
    <t>Via Extramurale S.Sabina (parco giochi)</t>
  </si>
  <si>
    <t>Via Extramurale S.Sabina (parco)</t>
  </si>
  <si>
    <t>Istituto N.Del Prete</t>
  </si>
  <si>
    <t>Comod.Comune</t>
  </si>
  <si>
    <t>IMMOBILI SITI NEL COMUNE DI CELLINO SAN MARCO</t>
  </si>
  <si>
    <t>Via Regina Margherita n.82</t>
  </si>
  <si>
    <t>00,24,32</t>
  </si>
  <si>
    <t>IMMOBILI SITI NEL COMUNE DI CISTERNINO</t>
  </si>
  <si>
    <t>Via Giotto p.t.</t>
  </si>
  <si>
    <t>IMMOBILI SITI NEL COMUNE DI ERCHIE</t>
  </si>
  <si>
    <t>IMMOBILI SITI NEL COMUNE DI FASANO</t>
  </si>
  <si>
    <t>Centro Studi e Program.</t>
  </si>
  <si>
    <t>Via Nazionale dei Trulli n.95</t>
  </si>
  <si>
    <t>FU d accert</t>
  </si>
  <si>
    <t>P.O.(chiosco bar- fitto Grottini Leonardo) Via Nazionale dei Trulli n.95</t>
  </si>
  <si>
    <t>IMMOBILI SITI NEL COMUNE DI FRANCAVILLA FONTANA</t>
  </si>
  <si>
    <t>Selva di Fasano, viale Toledo p.s1</t>
  </si>
  <si>
    <t>Piazza Volta n.2 p.s1-t-1°</t>
  </si>
  <si>
    <t>00,01,75</t>
  </si>
  <si>
    <t>IMMOBILI SITI NEL COMUNE DI LATIANO</t>
  </si>
  <si>
    <t>00,38,50</t>
  </si>
  <si>
    <t>02,45,76</t>
  </si>
  <si>
    <t>01,51,83</t>
  </si>
  <si>
    <t>00,00,19</t>
  </si>
  <si>
    <t>00,20,79</t>
  </si>
  <si>
    <t>00,08,58</t>
  </si>
  <si>
    <t>00,00,15</t>
  </si>
  <si>
    <t>00,02,68</t>
  </si>
  <si>
    <t>00,04,25</t>
  </si>
  <si>
    <t>00,00,50</t>
  </si>
  <si>
    <t>Villa Romatizza - DSM</t>
  </si>
  <si>
    <t>Villa Romatizza ex colonia</t>
  </si>
  <si>
    <t>Strada vicinale Romatizza snc p.t.</t>
  </si>
  <si>
    <t>S.P. n.47 Latiano-S.Michele Sal. ps1-t</t>
  </si>
  <si>
    <t>175 ex 81</t>
  </si>
  <si>
    <t>178 ex 80</t>
  </si>
  <si>
    <t>180 ex 78</t>
  </si>
  <si>
    <t>variazione classamento del 25.07.2002</t>
  </si>
  <si>
    <t>Via Papa Giovanni XXIII n.7 p.t.</t>
  </si>
  <si>
    <t xml:space="preserve">Strada vicinale Romatizza </t>
  </si>
  <si>
    <t>IMMOBILI SITI NEL COMUNE DI MESAGNE</t>
  </si>
  <si>
    <t>00,47,58</t>
  </si>
  <si>
    <t>Strada pubbl.</t>
  </si>
  <si>
    <t>Strada pubblica</t>
  </si>
  <si>
    <t>00,31,79</t>
  </si>
  <si>
    <t>00,03,10</t>
  </si>
  <si>
    <t>Via Gioberti,1 p.t.</t>
  </si>
  <si>
    <t>Via Labanchi n.1 ps1-t-1°-2°-3°</t>
  </si>
  <si>
    <t>Via Toti p.t.</t>
  </si>
  <si>
    <t>IMMOBILI SITI NEL COMUNE DI SAN MICHELE SALENTINO</t>
  </si>
  <si>
    <t xml:space="preserve">Via Labanchi </t>
  </si>
  <si>
    <t>IMMOBILI SITI NEL COMUNE DI ORIA</t>
  </si>
  <si>
    <t>IMMOBILI SITI NEL COMUNE DI OSTUNI</t>
  </si>
  <si>
    <t>IMMOBILI SITI NEL COMUNE DI SAN PANCRAZIO SALENTINO</t>
  </si>
  <si>
    <t>IMMOBILI SITI NEL COMUNE DI SAN PIETRO VERNOTICO</t>
  </si>
  <si>
    <t>IMMOBILI SITI NEL COMUNE DI SAN VITO DEI NORMANNI</t>
  </si>
  <si>
    <t>IMMOBILI SITI NEL COMUNE DI TORCHIAROLO</t>
  </si>
  <si>
    <t>IMMOBILI SITI NEL COMUNE DI  TORRE SANTA SUSANNA</t>
  </si>
  <si>
    <t>IMMOBILI SITI NEL COMUNE DI  VILLA CASTELLI</t>
  </si>
  <si>
    <t>Via Pentima della Volpe</t>
  </si>
  <si>
    <t>P.O. Camberlingo"nuovo"</t>
  </si>
  <si>
    <t>Poliambulatori</t>
  </si>
  <si>
    <t>Piazza Ostillo ps1-t-1-2</t>
  </si>
  <si>
    <t xml:space="preserve">Piazza Ostillo </t>
  </si>
  <si>
    <t>Piazza Ostillo</t>
  </si>
  <si>
    <t>00,01,40</t>
  </si>
  <si>
    <t>00,01,69</t>
  </si>
  <si>
    <t>Via Lecce,246 p.t.-1°-2°-3°</t>
  </si>
  <si>
    <t>TOTALE GENERALE</t>
  </si>
  <si>
    <t>Sfitto-Abitazioni</t>
  </si>
  <si>
    <t>Sede Direzione Generale</t>
  </si>
  <si>
    <t>Centro Salute Mentale</t>
  </si>
  <si>
    <t>Via Enrico De Nicola</t>
  </si>
  <si>
    <t>Suolo Presidio Multizonale</t>
  </si>
  <si>
    <t>Servizi Sanitari Vari</t>
  </si>
  <si>
    <t>ex P.O. Tanzarella</t>
  </si>
  <si>
    <t>Uffici distretto-SERT</t>
  </si>
  <si>
    <t>Via Frascata ps1-t-1°-2°-3°</t>
  </si>
  <si>
    <t>Imp.sportivo</t>
  </si>
  <si>
    <t>D/6</t>
  </si>
  <si>
    <t>C.da Salamina p.1°</t>
  </si>
  <si>
    <t>Maneggio</t>
  </si>
  <si>
    <t>Fitto Pinto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</si>
</sst>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#,##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&quot;L.&quot;\ * #,##0.0_-;\-&quot;L.&quot;\ * #,##0.0_-;_-&quot;L.&quot;\ * &quot;-&quot;_-;_-@_-"/>
    <numFmt numFmtId="176" formatCode="_-&quot;L.&quot;\ * #,##0.00_-;\-&quot;L.&quot;\ * #,##0.00_-;_-&quot;L.&quot;\ * &quot;-&quot;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dotted"/>
      <top style="double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2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68" fontId="0" fillId="0" borderId="11" xfId="0" applyNumberFormat="1" applyBorder="1" applyAlignment="1">
      <alignment/>
    </xf>
    <xf numFmtId="0" fontId="0" fillId="33" borderId="23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35" borderId="25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36" borderId="25" xfId="0" applyFill="1" applyBorder="1" applyAlignment="1">
      <alignment/>
    </xf>
    <xf numFmtId="168" fontId="0" fillId="0" borderId="23" xfId="0" applyNumberFormat="1" applyBorder="1" applyAlignment="1">
      <alignment/>
    </xf>
    <xf numFmtId="0" fontId="5" fillId="0" borderId="0" xfId="0" applyFont="1" applyAlignment="1">
      <alignment/>
    </xf>
    <xf numFmtId="168" fontId="0" fillId="0" borderId="22" xfId="60" applyFont="1" applyBorder="1" applyAlignment="1">
      <alignment/>
    </xf>
    <xf numFmtId="168" fontId="0" fillId="0" borderId="25" xfId="60" applyFont="1" applyBorder="1" applyAlignment="1">
      <alignment/>
    </xf>
    <xf numFmtId="0" fontId="4" fillId="0" borderId="0" xfId="0" applyFont="1" applyAlignment="1">
      <alignment horizontal="right"/>
    </xf>
    <xf numFmtId="41" fontId="0" fillId="0" borderId="0" xfId="44" applyFont="1" applyAlignment="1">
      <alignment/>
    </xf>
    <xf numFmtId="173" fontId="0" fillId="0" borderId="0" xfId="44" applyNumberFormat="1" applyFont="1" applyAlignment="1">
      <alignment/>
    </xf>
    <xf numFmtId="173" fontId="0" fillId="0" borderId="11" xfId="44" applyNumberFormat="1" applyFont="1" applyBorder="1" applyAlignment="1">
      <alignment/>
    </xf>
    <xf numFmtId="173" fontId="0" fillId="0" borderId="0" xfId="44" applyNumberFormat="1" applyFont="1" applyFill="1" applyBorder="1" applyAlignment="1">
      <alignment/>
    </xf>
    <xf numFmtId="41" fontId="0" fillId="0" borderId="0" xfId="44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60" applyFont="1" applyFill="1" applyBorder="1" applyAlignment="1">
      <alignment/>
    </xf>
    <xf numFmtId="41" fontId="0" fillId="0" borderId="22" xfId="44" applyFont="1" applyBorder="1" applyAlignment="1">
      <alignment/>
    </xf>
    <xf numFmtId="41" fontId="0" fillId="0" borderId="0" xfId="44" applyFont="1" applyBorder="1" applyAlignment="1">
      <alignment/>
    </xf>
    <xf numFmtId="173" fontId="0" fillId="0" borderId="22" xfId="44" applyNumberFormat="1" applyFont="1" applyBorder="1" applyAlignment="1">
      <alignment/>
    </xf>
    <xf numFmtId="173" fontId="0" fillId="0" borderId="25" xfId="44" applyNumberFormat="1" applyFont="1" applyBorder="1" applyAlignment="1">
      <alignment/>
    </xf>
    <xf numFmtId="173" fontId="0" fillId="0" borderId="23" xfId="44" applyNumberFormat="1" applyFont="1" applyBorder="1" applyAlignment="1">
      <alignment/>
    </xf>
    <xf numFmtId="0" fontId="7" fillId="0" borderId="0" xfId="0" applyFont="1" applyBorder="1" applyAlignment="1">
      <alignment/>
    </xf>
    <xf numFmtId="173" fontId="0" fillId="0" borderId="13" xfId="44" applyNumberFormat="1" applyFont="1" applyFill="1" applyBorder="1" applyAlignment="1">
      <alignment/>
    </xf>
    <xf numFmtId="41" fontId="0" fillId="0" borderId="10" xfId="44" applyFont="1" applyBorder="1" applyAlignment="1">
      <alignment horizontal="center"/>
    </xf>
    <xf numFmtId="173" fontId="0" fillId="0" borderId="10" xfId="44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3" fontId="0" fillId="0" borderId="27" xfId="0" applyNumberFormat="1" applyBorder="1" applyAlignment="1">
      <alignment/>
    </xf>
    <xf numFmtId="173" fontId="0" fillId="34" borderId="27" xfId="44" applyNumberFormat="1" applyFont="1" applyFill="1" applyBorder="1" applyAlignment="1">
      <alignment/>
    </xf>
    <xf numFmtId="173" fontId="0" fillId="0" borderId="27" xfId="44" applyNumberFormat="1" applyFont="1" applyFill="1" applyBorder="1" applyAlignment="1">
      <alignment/>
    </xf>
    <xf numFmtId="170" fontId="0" fillId="0" borderId="27" xfId="0" applyNumberFormat="1" applyBorder="1" applyAlignment="1">
      <alignment/>
    </xf>
    <xf numFmtId="173" fontId="0" fillId="35" borderId="27" xfId="44" applyNumberFormat="1" applyFont="1" applyFill="1" applyBorder="1" applyAlignment="1">
      <alignment/>
    </xf>
    <xf numFmtId="0" fontId="0" fillId="0" borderId="27" xfId="0" applyBorder="1" applyAlignment="1">
      <alignment horizontal="right"/>
    </xf>
    <xf numFmtId="173" fontId="0" fillId="35" borderId="27" xfId="44" applyNumberFormat="1" applyFont="1" applyFill="1" applyBorder="1" applyAlignment="1">
      <alignment horizontal="right"/>
    </xf>
    <xf numFmtId="41" fontId="3" fillId="0" borderId="28" xfId="44" applyFont="1" applyBorder="1" applyAlignment="1">
      <alignment horizontal="center"/>
    </xf>
    <xf numFmtId="41" fontId="3" fillId="0" borderId="29" xfId="44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173" fontId="0" fillId="0" borderId="30" xfId="44" applyNumberFormat="1" applyFont="1" applyFill="1" applyBorder="1" applyAlignment="1">
      <alignment/>
    </xf>
    <xf numFmtId="173" fontId="0" fillId="0" borderId="23" xfId="44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3" fontId="0" fillId="0" borderId="31" xfId="0" applyNumberFormat="1" applyBorder="1" applyAlignment="1">
      <alignment/>
    </xf>
    <xf numFmtId="173" fontId="0" fillId="34" borderId="31" xfId="44" applyNumberFormat="1" applyFont="1" applyFill="1" applyBorder="1" applyAlignment="1">
      <alignment/>
    </xf>
    <xf numFmtId="173" fontId="0" fillId="0" borderId="31" xfId="44" applyNumberFormat="1" applyFont="1" applyFill="1" applyBorder="1" applyAlignment="1">
      <alignment/>
    </xf>
    <xf numFmtId="173" fontId="0" fillId="36" borderId="30" xfId="44" applyNumberFormat="1" applyFont="1" applyFill="1" applyBorder="1" applyAlignment="1">
      <alignment/>
    </xf>
    <xf numFmtId="170" fontId="0" fillId="0" borderId="30" xfId="0" applyNumberFormat="1" applyBorder="1" applyAlignment="1">
      <alignment/>
    </xf>
    <xf numFmtId="173" fontId="0" fillId="35" borderId="30" xfId="44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70" fontId="0" fillId="0" borderId="32" xfId="0" applyNumberFormat="1" applyBorder="1" applyAlignment="1">
      <alignment/>
    </xf>
    <xf numFmtId="173" fontId="0" fillId="35" borderId="32" xfId="44" applyNumberFormat="1" applyFont="1" applyFill="1" applyBorder="1" applyAlignment="1">
      <alignment/>
    </xf>
    <xf numFmtId="173" fontId="0" fillId="0" borderId="32" xfId="44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171" fontId="0" fillId="0" borderId="30" xfId="0" applyNumberFormat="1" applyBorder="1" applyAlignment="1">
      <alignment/>
    </xf>
    <xf numFmtId="170" fontId="0" fillId="0" borderId="31" xfId="0" applyNumberFormat="1" applyBorder="1" applyAlignment="1">
      <alignment/>
    </xf>
    <xf numFmtId="173" fontId="0" fillId="35" borderId="31" xfId="44" applyNumberFormat="1" applyFont="1" applyFill="1" applyBorder="1" applyAlignment="1">
      <alignment/>
    </xf>
    <xf numFmtId="173" fontId="0" fillId="0" borderId="13" xfId="44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173" fontId="2" fillId="0" borderId="28" xfId="44" applyNumberFormat="1" applyFont="1" applyBorder="1" applyAlignment="1">
      <alignment horizontal="left"/>
    </xf>
    <xf numFmtId="173" fontId="3" fillId="0" borderId="28" xfId="44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left"/>
    </xf>
    <xf numFmtId="173" fontId="2" fillId="0" borderId="29" xfId="44" applyNumberFormat="1" applyFont="1" applyBorder="1" applyAlignment="1">
      <alignment horizontal="center"/>
    </xf>
    <xf numFmtId="173" fontId="3" fillId="0" borderId="29" xfId="44" applyNumberFormat="1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170" fontId="0" fillId="0" borderId="27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 horizontal="center"/>
    </xf>
    <xf numFmtId="168" fontId="0" fillId="33" borderId="33" xfId="60" applyFont="1" applyFill="1" applyBorder="1" applyAlignment="1">
      <alignment/>
    </xf>
    <xf numFmtId="173" fontId="0" fillId="33" borderId="33" xfId="44" applyNumberFormat="1" applyFont="1" applyFill="1" applyBorder="1" applyAlignment="1">
      <alignment/>
    </xf>
    <xf numFmtId="173" fontId="0" fillId="0" borderId="33" xfId="44" applyNumberFormat="1" applyFont="1" applyFill="1" applyBorder="1" applyAlignment="1">
      <alignment/>
    </xf>
    <xf numFmtId="168" fontId="0" fillId="33" borderId="32" xfId="60" applyFont="1" applyFill="1" applyBorder="1" applyAlignment="1">
      <alignment/>
    </xf>
    <xf numFmtId="173" fontId="0" fillId="33" borderId="32" xfId="44" applyNumberFormat="1" applyFont="1" applyFill="1" applyBorder="1" applyAlignment="1">
      <alignment/>
    </xf>
    <xf numFmtId="173" fontId="0" fillId="0" borderId="34" xfId="44" applyNumberFormat="1" applyFont="1" applyBorder="1" applyAlignment="1">
      <alignment/>
    </xf>
    <xf numFmtId="173" fontId="0" fillId="33" borderId="31" xfId="44" applyNumberFormat="1" applyFont="1" applyFill="1" applyBorder="1" applyAlignment="1">
      <alignment/>
    </xf>
    <xf numFmtId="173" fontId="0" fillId="0" borderId="35" xfId="44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168" fontId="0" fillId="33" borderId="36" xfId="60" applyFont="1" applyFill="1" applyBorder="1" applyAlignment="1">
      <alignment/>
    </xf>
    <xf numFmtId="173" fontId="0" fillId="33" borderId="36" xfId="44" applyNumberFormat="1" applyFont="1" applyFill="1" applyBorder="1" applyAlignment="1">
      <alignment/>
    </xf>
    <xf numFmtId="173" fontId="0" fillId="0" borderId="36" xfId="44" applyNumberFormat="1" applyFont="1" applyFill="1" applyBorder="1" applyAlignment="1">
      <alignment/>
    </xf>
    <xf numFmtId="173" fontId="0" fillId="0" borderId="37" xfId="44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3" fontId="0" fillId="0" borderId="32" xfId="0" applyNumberFormat="1" applyBorder="1" applyAlignment="1">
      <alignment/>
    </xf>
    <xf numFmtId="168" fontId="0" fillId="34" borderId="31" xfId="60" applyFont="1" applyFill="1" applyBorder="1" applyAlignment="1">
      <alignment/>
    </xf>
    <xf numFmtId="173" fontId="0" fillId="0" borderId="37" xfId="44" applyNumberFormat="1" applyFont="1" applyFill="1" applyBorder="1" applyAlignment="1">
      <alignment/>
    </xf>
    <xf numFmtId="173" fontId="0" fillId="0" borderId="35" xfId="44" applyNumberFormat="1" applyFont="1" applyFill="1" applyBorder="1" applyAlignment="1">
      <alignment/>
    </xf>
    <xf numFmtId="173" fontId="0" fillId="36" borderId="31" xfId="44" applyNumberFormat="1" applyFont="1" applyFill="1" applyBorder="1" applyAlignment="1">
      <alignment/>
    </xf>
    <xf numFmtId="168" fontId="0" fillId="36" borderId="33" xfId="60" applyFont="1" applyFill="1" applyBorder="1" applyAlignment="1">
      <alignment/>
    </xf>
    <xf numFmtId="173" fontId="0" fillId="36" borderId="33" xfId="44" applyNumberFormat="1" applyFont="1" applyFill="1" applyBorder="1" applyAlignment="1">
      <alignment/>
    </xf>
    <xf numFmtId="168" fontId="0" fillId="34" borderId="27" xfId="60" applyFont="1" applyFill="1" applyBorder="1" applyAlignment="1">
      <alignment/>
    </xf>
    <xf numFmtId="168" fontId="0" fillId="36" borderId="32" xfId="60" applyFont="1" applyFill="1" applyBorder="1" applyAlignment="1">
      <alignment/>
    </xf>
    <xf numFmtId="173" fontId="0" fillId="36" borderId="32" xfId="44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168" fontId="0" fillId="34" borderId="33" xfId="60" applyFont="1" applyFill="1" applyBorder="1" applyAlignment="1">
      <alignment/>
    </xf>
    <xf numFmtId="173" fontId="0" fillId="34" borderId="33" xfId="44" applyNumberFormat="1" applyFont="1" applyFill="1" applyBorder="1" applyAlignment="1">
      <alignment/>
    </xf>
    <xf numFmtId="0" fontId="0" fillId="0" borderId="32" xfId="0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41" fontId="0" fillId="35" borderId="27" xfId="44" applyFont="1" applyFill="1" applyBorder="1" applyAlignment="1">
      <alignment/>
    </xf>
    <xf numFmtId="0" fontId="0" fillId="0" borderId="32" xfId="0" applyFont="1" applyBorder="1" applyAlignment="1">
      <alignment horizontal="left"/>
    </xf>
    <xf numFmtId="41" fontId="0" fillId="35" borderId="32" xfId="44" applyFont="1" applyFill="1" applyBorder="1" applyAlignment="1">
      <alignment/>
    </xf>
    <xf numFmtId="173" fontId="0" fillId="0" borderId="38" xfId="44" applyNumberFormat="1" applyFont="1" applyFill="1" applyBorder="1" applyAlignment="1">
      <alignment/>
    </xf>
    <xf numFmtId="173" fontId="0" fillId="35" borderId="33" xfId="44" applyNumberFormat="1" applyFont="1" applyFill="1" applyBorder="1" applyAlignment="1">
      <alignment/>
    </xf>
    <xf numFmtId="41" fontId="0" fillId="0" borderId="39" xfId="44" applyFont="1" applyBorder="1" applyAlignment="1">
      <alignment/>
    </xf>
    <xf numFmtId="173" fontId="0" fillId="0" borderId="34" xfId="44" applyNumberFormat="1" applyFont="1" applyFill="1" applyBorder="1" applyAlignment="1">
      <alignment/>
    </xf>
    <xf numFmtId="41" fontId="0" fillId="0" borderId="39" xfId="44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0" xfId="44" applyNumberFormat="1" applyFont="1" applyFill="1" applyAlignment="1">
      <alignment/>
    </xf>
    <xf numFmtId="41" fontId="0" fillId="0" borderId="0" xfId="44" applyFont="1" applyFill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173" fontId="2" fillId="0" borderId="28" xfId="44" applyNumberFormat="1" applyFont="1" applyFill="1" applyBorder="1" applyAlignment="1">
      <alignment horizontal="left"/>
    </xf>
    <xf numFmtId="173" fontId="3" fillId="0" borderId="28" xfId="44" applyNumberFormat="1" applyFont="1" applyFill="1" applyBorder="1" applyAlignment="1">
      <alignment horizontal="center"/>
    </xf>
    <xf numFmtId="41" fontId="3" fillId="0" borderId="28" xfId="44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173" fontId="2" fillId="0" borderId="29" xfId="44" applyNumberFormat="1" applyFont="1" applyFill="1" applyBorder="1" applyAlignment="1">
      <alignment horizontal="center"/>
    </xf>
    <xf numFmtId="173" fontId="3" fillId="0" borderId="29" xfId="44" applyNumberFormat="1" applyFont="1" applyFill="1" applyBorder="1" applyAlignment="1">
      <alignment horizontal="center"/>
    </xf>
    <xf numFmtId="41" fontId="3" fillId="0" borderId="29" xfId="44" applyFont="1" applyFill="1" applyBorder="1" applyAlignment="1">
      <alignment horizontal="left"/>
    </xf>
    <xf numFmtId="41" fontId="0" fillId="0" borderId="40" xfId="44" applyFont="1" applyFill="1" applyBorder="1" applyAlignment="1">
      <alignment/>
    </xf>
    <xf numFmtId="173" fontId="0" fillId="0" borderId="38" xfId="44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right"/>
    </xf>
    <xf numFmtId="170" fontId="0" fillId="0" borderId="33" xfId="0" applyNumberFormat="1" applyFill="1" applyBorder="1" applyAlignment="1">
      <alignment/>
    </xf>
    <xf numFmtId="41" fontId="0" fillId="0" borderId="41" xfId="44" applyFont="1" applyFill="1" applyBorder="1" applyAlignment="1">
      <alignment horizontal="center"/>
    </xf>
    <xf numFmtId="41" fontId="0" fillId="0" borderId="40" xfId="44" applyFont="1" applyFill="1" applyBorder="1" applyAlignment="1">
      <alignment horizontal="center"/>
    </xf>
    <xf numFmtId="173" fontId="0" fillId="0" borderId="39" xfId="44" applyNumberFormat="1" applyFont="1" applyFill="1" applyBorder="1" applyAlignment="1">
      <alignment/>
    </xf>
    <xf numFmtId="173" fontId="0" fillId="0" borderId="26" xfId="44" applyNumberFormat="1" applyFont="1" applyFill="1" applyBorder="1" applyAlignment="1">
      <alignment/>
    </xf>
    <xf numFmtId="41" fontId="0" fillId="0" borderId="40" xfId="44" applyFont="1" applyBorder="1" applyAlignment="1">
      <alignment/>
    </xf>
    <xf numFmtId="41" fontId="0" fillId="0" borderId="41" xfId="44" applyFont="1" applyBorder="1" applyAlignment="1">
      <alignment horizontal="center"/>
    </xf>
    <xf numFmtId="0" fontId="0" fillId="0" borderId="27" xfId="0" applyNumberFormat="1" applyBorder="1" applyAlignment="1">
      <alignment/>
    </xf>
    <xf numFmtId="173" fontId="0" fillId="36" borderId="27" xfId="44" applyNumberFormat="1" applyFont="1" applyFill="1" applyBorder="1" applyAlignment="1">
      <alignment/>
    </xf>
    <xf numFmtId="173" fontId="0" fillId="0" borderId="27" xfId="44" applyNumberFormat="1" applyFont="1" applyBorder="1" applyAlignment="1">
      <alignment/>
    </xf>
    <xf numFmtId="0" fontId="0" fillId="0" borderId="27" xfId="0" applyBorder="1" applyAlignment="1">
      <alignment horizontal="left"/>
    </xf>
    <xf numFmtId="173" fontId="0" fillId="0" borderId="38" xfId="44" applyNumberFormat="1" applyFont="1" applyBorder="1" applyAlignment="1">
      <alignment horizontal="center"/>
    </xf>
    <xf numFmtId="41" fontId="0" fillId="0" borderId="41" xfId="44" applyFont="1" applyBorder="1" applyAlignment="1">
      <alignment/>
    </xf>
    <xf numFmtId="0" fontId="0" fillId="0" borderId="31" xfId="0" applyNumberFormat="1" applyFill="1" applyBorder="1" applyAlignment="1">
      <alignment/>
    </xf>
    <xf numFmtId="173" fontId="0" fillId="0" borderId="38" xfId="44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Fill="1" applyBorder="1" applyAlignment="1">
      <alignment/>
    </xf>
    <xf numFmtId="173" fontId="0" fillId="0" borderId="31" xfId="44" applyNumberFormat="1" applyFont="1" applyBorder="1" applyAlignment="1">
      <alignment/>
    </xf>
    <xf numFmtId="0" fontId="0" fillId="0" borderId="36" xfId="0" applyFill="1" applyBorder="1" applyAlignment="1">
      <alignment/>
    </xf>
    <xf numFmtId="168" fontId="0" fillId="34" borderId="36" xfId="60" applyFont="1" applyFill="1" applyBorder="1" applyAlignment="1">
      <alignment/>
    </xf>
    <xf numFmtId="173" fontId="0" fillId="34" borderId="36" xfId="44" applyNumberFormat="1" applyFont="1" applyFill="1" applyBorder="1" applyAlignment="1">
      <alignment/>
    </xf>
    <xf numFmtId="0" fontId="0" fillId="0" borderId="31" xfId="0" applyBorder="1" applyAlignment="1">
      <alignment horizontal="right"/>
    </xf>
    <xf numFmtId="0" fontId="0" fillId="0" borderId="31" xfId="0" applyFont="1" applyBorder="1" applyAlignment="1">
      <alignment/>
    </xf>
    <xf numFmtId="173" fontId="0" fillId="33" borderId="27" xfId="44" applyNumberFormat="1" applyFont="1" applyFill="1" applyBorder="1" applyAlignment="1">
      <alignment/>
    </xf>
    <xf numFmtId="173" fontId="0" fillId="0" borderId="40" xfId="44" applyNumberFormat="1" applyFont="1" applyFill="1" applyBorder="1" applyAlignment="1">
      <alignment/>
    </xf>
    <xf numFmtId="0" fontId="0" fillId="0" borderId="32" xfId="0" applyBorder="1" applyAlignment="1">
      <alignment horizontal="left"/>
    </xf>
    <xf numFmtId="47" fontId="0" fillId="0" borderId="31" xfId="0" applyNumberFormat="1" applyBorder="1" applyAlignment="1">
      <alignment/>
    </xf>
    <xf numFmtId="173" fontId="0" fillId="0" borderId="40" xfId="44" applyNumberFormat="1" applyFont="1" applyBorder="1" applyAlignment="1">
      <alignment/>
    </xf>
    <xf numFmtId="173" fontId="0" fillId="0" borderId="41" xfId="44" applyNumberFormat="1" applyFont="1" applyBorder="1" applyAlignment="1">
      <alignment horizontal="center"/>
    </xf>
    <xf numFmtId="173" fontId="0" fillId="0" borderId="41" xfId="44" applyNumberFormat="1" applyFont="1" applyBorder="1" applyAlignment="1">
      <alignment/>
    </xf>
    <xf numFmtId="173" fontId="0" fillId="0" borderId="32" xfId="44" applyNumberFormat="1" applyFont="1" applyBorder="1" applyAlignment="1">
      <alignment/>
    </xf>
    <xf numFmtId="173" fontId="0" fillId="0" borderId="41" xfId="44" applyNumberFormat="1" applyFont="1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173" fontId="0" fillId="0" borderId="42" xfId="44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6" fillId="0" borderId="0" xfId="0" applyFont="1" applyFill="1" applyBorder="1" applyAlignment="1">
      <alignment/>
    </xf>
    <xf numFmtId="173" fontId="9" fillId="0" borderId="13" xfId="44" applyNumberFormat="1" applyFont="1" applyBorder="1" applyAlignment="1">
      <alignment/>
    </xf>
    <xf numFmtId="173" fontId="9" fillId="0" borderId="12" xfId="44" applyNumberFormat="1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24" xfId="0" applyFont="1" applyBorder="1" applyAlignment="1">
      <alignment/>
    </xf>
    <xf numFmtId="0" fontId="1" fillId="0" borderId="13" xfId="0" applyFont="1" applyBorder="1" applyAlignment="1">
      <alignment/>
    </xf>
    <xf numFmtId="168" fontId="0" fillId="36" borderId="27" xfId="60" applyFont="1" applyFill="1" applyBorder="1" applyAlignment="1">
      <alignment/>
    </xf>
    <xf numFmtId="41" fontId="0" fillId="0" borderId="0" xfId="44" applyFont="1" applyFill="1" applyBorder="1" applyAlignment="1">
      <alignment/>
    </xf>
    <xf numFmtId="173" fontId="2" fillId="0" borderId="28" xfId="44" applyNumberFormat="1" applyFont="1" applyFill="1" applyBorder="1" applyAlignment="1">
      <alignment/>
    </xf>
    <xf numFmtId="173" fontId="3" fillId="0" borderId="29" xfId="44" applyNumberFormat="1" applyFont="1" applyFill="1" applyBorder="1" applyAlignment="1">
      <alignment horizontal="left"/>
    </xf>
    <xf numFmtId="173" fontId="0" fillId="37" borderId="27" xfId="44" applyNumberFormat="1" applyFont="1" applyFill="1" applyBorder="1" applyAlignment="1">
      <alignment/>
    </xf>
    <xf numFmtId="173" fontId="0" fillId="37" borderId="32" xfId="44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zoomScale="89" zoomScaleNormal="89" zoomScalePageLayoutView="0" workbookViewId="0" topLeftCell="A1">
      <selection activeCell="H5" sqref="H5"/>
    </sheetView>
  </sheetViews>
  <sheetFormatPr defaultColWidth="9.140625" defaultRowHeight="12.75"/>
  <cols>
    <col min="1" max="1" width="22.7109375" style="0" customWidth="1"/>
    <col min="2" max="2" width="16.57421875" style="0" customWidth="1"/>
    <col min="3" max="3" width="14.7109375" style="0" customWidth="1"/>
    <col min="4" max="4" width="16.421875" style="0" customWidth="1"/>
    <col min="5" max="5" width="18.421875" style="0" customWidth="1"/>
    <col min="6" max="6" width="14.7109375" style="0" customWidth="1"/>
  </cols>
  <sheetData>
    <row r="1" spans="1:5" ht="15.75">
      <c r="A1" s="8"/>
      <c r="E1" s="1"/>
    </row>
    <row r="2" spans="1:6" ht="15.75">
      <c r="A2" s="8" t="s">
        <v>0</v>
      </c>
      <c r="B2" s="6" t="s">
        <v>457</v>
      </c>
      <c r="C2" s="24"/>
      <c r="D2" s="6"/>
      <c r="E2" s="25" t="s">
        <v>456</v>
      </c>
      <c r="F2" s="7"/>
    </row>
    <row r="3" spans="1:6" ht="12.75">
      <c r="A3" s="21"/>
      <c r="B3" s="4" t="s">
        <v>453</v>
      </c>
      <c r="C3" s="5" t="s">
        <v>213</v>
      </c>
      <c r="D3" s="9" t="s">
        <v>455</v>
      </c>
      <c r="E3" s="9" t="s">
        <v>454</v>
      </c>
      <c r="F3" s="5" t="s">
        <v>213</v>
      </c>
    </row>
    <row r="4" spans="2:6" ht="12.75">
      <c r="B4" s="33"/>
      <c r="C4" s="33"/>
      <c r="D4" s="31"/>
      <c r="E4" s="15"/>
      <c r="F4" s="15"/>
    </row>
    <row r="5" spans="1:6" ht="12.75">
      <c r="A5" s="32" t="s">
        <v>449</v>
      </c>
      <c r="B5" s="26"/>
      <c r="C5" s="26"/>
      <c r="D5" s="51">
        <f>SUM(Foglio2!L26:L30)</f>
        <v>241.19</v>
      </c>
      <c r="E5" s="49">
        <f>SUM(Foglio2!M26:M30)</f>
        <v>265.3</v>
      </c>
      <c r="F5" s="47">
        <v>0</v>
      </c>
    </row>
    <row r="6" spans="2:6" ht="12.75">
      <c r="B6" s="3"/>
      <c r="C6" s="3"/>
      <c r="D6" s="2"/>
      <c r="E6" s="3"/>
      <c r="F6" s="3"/>
    </row>
    <row r="7" spans="1:6" ht="12.75">
      <c r="A7" s="34" t="s">
        <v>450</v>
      </c>
      <c r="B7" s="49">
        <f>SUM(Foglio2!M16:M18,Foglio2!M20)</f>
        <v>2893.4497771488477</v>
      </c>
      <c r="C7" s="49">
        <f>300000/1936.27</f>
        <v>154.93706972684595</v>
      </c>
      <c r="D7" s="2"/>
      <c r="E7" s="26"/>
      <c r="F7" s="3"/>
    </row>
    <row r="8" spans="2:6" ht="12.75">
      <c r="B8" s="42"/>
      <c r="C8" s="48"/>
      <c r="D8" s="3"/>
      <c r="E8" s="3"/>
      <c r="F8" s="3"/>
    </row>
    <row r="9" spans="1:6" ht="12.75">
      <c r="A9" s="27" t="s">
        <v>451</v>
      </c>
      <c r="B9" s="49">
        <f>SUM(Foglio2!M4:M7,Foglio2!M14)</f>
        <v>3536.9034277244396</v>
      </c>
      <c r="C9" s="50">
        <f>11762000/1936.27</f>
        <v>6074.56604709054</v>
      </c>
      <c r="D9" s="3"/>
      <c r="E9" s="26"/>
      <c r="F9" s="3"/>
    </row>
    <row r="10" spans="2:6" ht="12.75">
      <c r="B10" s="42"/>
      <c r="C10" s="1"/>
      <c r="D10" s="3"/>
      <c r="E10" s="3"/>
      <c r="F10" s="3"/>
    </row>
    <row r="11" spans="1:6" ht="12.75">
      <c r="A11" s="28" t="s">
        <v>452</v>
      </c>
      <c r="B11" s="49">
        <f>SUM(Foglio2!M9:M10,Foglio2!M11:M13,Foglio2!M15,Foglio2!M19,Foglio2!M21:M23)</f>
        <v>94069.99516276139</v>
      </c>
      <c r="C11" s="29"/>
      <c r="D11" s="20"/>
      <c r="E11" s="22"/>
      <c r="F11" s="20"/>
    </row>
    <row r="12" spans="2:5" ht="12.75">
      <c r="B12" s="41"/>
      <c r="E12" s="1"/>
    </row>
    <row r="13" spans="1:3" ht="12.75">
      <c r="A13" s="39" t="s">
        <v>489</v>
      </c>
      <c r="B13" s="41">
        <f>SUM(E5,B7,B9,B11)</f>
        <v>100765.64836763468</v>
      </c>
      <c r="C13" s="23"/>
    </row>
    <row r="16" spans="1:6" ht="15.75">
      <c r="A16" s="8" t="s">
        <v>52</v>
      </c>
      <c r="B16" s="6" t="s">
        <v>457</v>
      </c>
      <c r="C16" s="24"/>
      <c r="D16" s="6"/>
      <c r="E16" s="25" t="s">
        <v>456</v>
      </c>
      <c r="F16" s="7"/>
    </row>
    <row r="17" spans="1:6" ht="12.75">
      <c r="A17" s="21"/>
      <c r="B17" s="4" t="s">
        <v>453</v>
      </c>
      <c r="C17" s="5" t="s">
        <v>213</v>
      </c>
      <c r="D17" s="9" t="s">
        <v>455</v>
      </c>
      <c r="E17" s="9" t="s">
        <v>454</v>
      </c>
      <c r="F17" s="5" t="s">
        <v>213</v>
      </c>
    </row>
    <row r="18" spans="2:6" ht="12.75">
      <c r="B18" s="33"/>
      <c r="C18" s="33"/>
      <c r="D18" s="31"/>
      <c r="E18" s="15"/>
      <c r="F18" s="15"/>
    </row>
    <row r="19" spans="1:6" ht="12.75">
      <c r="A19" s="32" t="s">
        <v>449</v>
      </c>
      <c r="B19" s="26"/>
      <c r="C19" s="26"/>
      <c r="D19" s="35">
        <f>SUM(Foglio2!L48:L53,Foglio2!L55:L58)</f>
        <v>187.07</v>
      </c>
      <c r="E19" s="22">
        <f>SUM(Foglio2!M48:M53,Foglio2!M55:M58)</f>
        <v>407</v>
      </c>
      <c r="F19" s="37">
        <v>0</v>
      </c>
    </row>
    <row r="20" spans="2:6" ht="12.75">
      <c r="B20" s="3"/>
      <c r="C20" s="3"/>
      <c r="D20" s="2"/>
      <c r="E20" s="3"/>
      <c r="F20" s="3"/>
    </row>
    <row r="21" spans="1:6" ht="12.75">
      <c r="A21" s="34" t="s">
        <v>450</v>
      </c>
      <c r="B21" s="22">
        <f>SUM(Foglio2!M47,Foglio2!M54)</f>
        <v>825.04</v>
      </c>
      <c r="C21" s="37">
        <v>0</v>
      </c>
      <c r="D21" s="2"/>
      <c r="E21" s="26"/>
      <c r="F21" s="3"/>
    </row>
    <row r="22" spans="2:6" ht="12.75">
      <c r="B22" s="3"/>
      <c r="C22" s="1"/>
      <c r="D22" s="3"/>
      <c r="E22" s="3"/>
      <c r="F22" s="3"/>
    </row>
    <row r="23" spans="1:6" ht="12.75">
      <c r="A23" s="27" t="s">
        <v>451</v>
      </c>
      <c r="B23" s="22"/>
      <c r="C23" s="30"/>
      <c r="D23" s="3"/>
      <c r="E23" s="26"/>
      <c r="F23" s="3"/>
    </row>
    <row r="24" spans="2:6" ht="12.75">
      <c r="B24" s="3"/>
      <c r="C24" s="1"/>
      <c r="D24" s="3"/>
      <c r="E24" s="3"/>
      <c r="F24" s="3"/>
    </row>
    <row r="25" spans="1:6" ht="12.75">
      <c r="A25" s="28" t="s">
        <v>452</v>
      </c>
      <c r="B25" s="22">
        <f>SUM(Foglio2!M45:M46)</f>
        <v>14723.76</v>
      </c>
      <c r="C25" s="29"/>
      <c r="D25" s="20"/>
      <c r="E25" s="22"/>
      <c r="F25" s="20"/>
    </row>
    <row r="26" ht="12.75">
      <c r="E26" s="1"/>
    </row>
    <row r="27" spans="1:3" ht="12.75">
      <c r="A27" s="39" t="s">
        <v>489</v>
      </c>
      <c r="B27" s="23">
        <f>SUM(E19,B21,B23,B25)</f>
        <v>15955.8</v>
      </c>
      <c r="C27" s="23"/>
    </row>
    <row r="30" spans="1:6" ht="15.75">
      <c r="A30" s="8" t="s">
        <v>448</v>
      </c>
      <c r="B30" s="6" t="s">
        <v>457</v>
      </c>
      <c r="C30" s="24"/>
      <c r="D30" s="6"/>
      <c r="E30" s="25" t="s">
        <v>456</v>
      </c>
      <c r="F30" s="7"/>
    </row>
    <row r="31" spans="1:6" ht="12.75">
      <c r="A31" s="21"/>
      <c r="B31" s="4" t="s">
        <v>453</v>
      </c>
      <c r="C31" s="5" t="s">
        <v>213</v>
      </c>
      <c r="D31" s="9" t="s">
        <v>455</v>
      </c>
      <c r="E31" s="9" t="s">
        <v>454</v>
      </c>
      <c r="F31" s="5" t="s">
        <v>213</v>
      </c>
    </row>
    <row r="32" spans="2:6" ht="12.75">
      <c r="B32" s="33"/>
      <c r="C32" s="33"/>
      <c r="D32" s="31"/>
      <c r="E32" s="15"/>
      <c r="F32" s="15"/>
    </row>
    <row r="33" spans="1:6" ht="12.75">
      <c r="A33" s="32" t="s">
        <v>449</v>
      </c>
      <c r="B33" s="26"/>
      <c r="C33" s="26"/>
      <c r="D33" s="35">
        <f>SUM(Foglio2!L76:L77,Foglio2!L81:L90)</f>
        <v>401.41</v>
      </c>
      <c r="E33" s="22">
        <f>SUM(Foglio2!M76:M77,Foglio2!M81:M90)</f>
        <v>571.2700000000001</v>
      </c>
      <c r="F33" s="37">
        <v>0</v>
      </c>
    </row>
    <row r="34" spans="2:6" ht="12.75">
      <c r="B34" s="3"/>
      <c r="C34" s="3"/>
      <c r="D34" s="2"/>
      <c r="E34" s="3"/>
      <c r="F34" s="3"/>
    </row>
    <row r="35" spans="1:6" ht="12.75">
      <c r="A35" s="34" t="s">
        <v>450</v>
      </c>
      <c r="B35" s="22">
        <f>SUM(Foglio2!M62:M63,Foglio2!M65:M67,Foglio2!M72:M75)</f>
        <v>1146.2244418392063</v>
      </c>
      <c r="C35" s="37">
        <v>0</v>
      </c>
      <c r="D35" s="2"/>
      <c r="E35" s="26"/>
      <c r="F35" s="3"/>
    </row>
    <row r="36" spans="2:6" ht="12.75">
      <c r="B36" s="3"/>
      <c r="C36" s="1"/>
      <c r="D36" s="3"/>
      <c r="E36" s="3"/>
      <c r="F36" s="3"/>
    </row>
    <row r="37" spans="1:6" ht="12.75">
      <c r="A37" s="27" t="s">
        <v>451</v>
      </c>
      <c r="B37" s="22">
        <f>SUM(Foglio2!M68:M71)</f>
        <v>1505.0586953265815</v>
      </c>
      <c r="C37" s="38">
        <v>0</v>
      </c>
      <c r="D37" s="3"/>
      <c r="E37" s="26"/>
      <c r="F37" s="3"/>
    </row>
    <row r="38" spans="2:6" ht="12.75">
      <c r="B38" s="3"/>
      <c r="C38" s="1"/>
      <c r="D38" s="3"/>
      <c r="E38" s="3"/>
      <c r="F38" s="3"/>
    </row>
    <row r="39" spans="1:6" ht="12.75">
      <c r="A39" s="28" t="s">
        <v>452</v>
      </c>
      <c r="B39" s="22">
        <f>SUM(Foglio2!M64,Foglio2!M78:M80)</f>
        <v>30432.739412633568</v>
      </c>
      <c r="C39" s="29"/>
      <c r="D39" s="20"/>
      <c r="E39" s="22"/>
      <c r="F39" s="20"/>
    </row>
    <row r="40" ht="12.75">
      <c r="E40" s="1"/>
    </row>
    <row r="41" spans="1:3" ht="12.75">
      <c r="A41" s="39" t="s">
        <v>489</v>
      </c>
      <c r="B41" s="23">
        <f>SUM(E33,B35,B37,B39)</f>
        <v>33655.29254979936</v>
      </c>
      <c r="C41" s="23"/>
    </row>
    <row r="44" spans="1:6" ht="15.75">
      <c r="A44" s="8" t="s">
        <v>458</v>
      </c>
      <c r="B44" s="6" t="s">
        <v>457</v>
      </c>
      <c r="C44" s="24"/>
      <c r="D44" s="6"/>
      <c r="E44" s="25" t="s">
        <v>456</v>
      </c>
      <c r="F44" s="7"/>
    </row>
    <row r="45" spans="1:6" ht="12.75">
      <c r="A45" s="21"/>
      <c r="B45" s="4" t="s">
        <v>453</v>
      </c>
      <c r="C45" s="5" t="s">
        <v>213</v>
      </c>
      <c r="D45" s="9" t="s">
        <v>455</v>
      </c>
      <c r="E45" s="9" t="s">
        <v>454</v>
      </c>
      <c r="F45" s="5" t="s">
        <v>213</v>
      </c>
    </row>
    <row r="46" spans="2:6" ht="12.75">
      <c r="B46" s="33"/>
      <c r="C46" s="33"/>
      <c r="D46" s="31"/>
      <c r="E46" s="15"/>
      <c r="F46" s="15"/>
    </row>
    <row r="47" spans="1:6" ht="12.75">
      <c r="A47" s="32" t="s">
        <v>449</v>
      </c>
      <c r="B47" s="26"/>
      <c r="C47" s="26"/>
      <c r="D47" s="35">
        <f>SUM(Foglio2!L94)</f>
        <v>75.19</v>
      </c>
      <c r="E47" s="22">
        <f>SUM(Foglio2!M94)</f>
        <v>191.85</v>
      </c>
      <c r="F47" s="37">
        <v>332000</v>
      </c>
    </row>
    <row r="48" spans="2:6" ht="12.75">
      <c r="B48" s="3"/>
      <c r="C48" s="3"/>
      <c r="D48" s="2"/>
      <c r="E48" s="3"/>
      <c r="F48" s="3"/>
    </row>
    <row r="49" spans="1:6" ht="12.75">
      <c r="A49" s="34" t="s">
        <v>450</v>
      </c>
      <c r="B49" s="22"/>
      <c r="C49" s="20"/>
      <c r="D49" s="2"/>
      <c r="E49" s="26"/>
      <c r="F49" s="3"/>
    </row>
    <row r="50" spans="2:6" ht="12.75">
      <c r="B50" s="3"/>
      <c r="C50" s="1"/>
      <c r="D50" s="3"/>
      <c r="E50" s="3"/>
      <c r="F50" s="3"/>
    </row>
    <row r="51" spans="1:6" ht="12.75">
      <c r="A51" s="27" t="s">
        <v>451</v>
      </c>
      <c r="B51" s="22"/>
      <c r="C51" s="30"/>
      <c r="D51" s="3"/>
      <c r="E51" s="26"/>
      <c r="F51" s="3"/>
    </row>
    <row r="52" spans="2:6" ht="12.75">
      <c r="B52" s="3"/>
      <c r="C52" s="1"/>
      <c r="D52" s="3"/>
      <c r="E52" s="3"/>
      <c r="F52" s="3"/>
    </row>
    <row r="53" spans="1:6" ht="12.75">
      <c r="A53" s="28" t="s">
        <v>452</v>
      </c>
      <c r="B53" s="22"/>
      <c r="C53" s="29"/>
      <c r="D53" s="20"/>
      <c r="E53" s="22"/>
      <c r="F53" s="20"/>
    </row>
    <row r="54" ht="12.75">
      <c r="E54" s="1"/>
    </row>
    <row r="55" spans="1:3" ht="12.75">
      <c r="A55" s="39" t="s">
        <v>489</v>
      </c>
      <c r="B55" s="23">
        <f>SUM(E47,B49,B51,B53)</f>
        <v>191.85</v>
      </c>
      <c r="C55" s="23"/>
    </row>
    <row r="57" spans="1:6" ht="15.75">
      <c r="A57" s="8" t="s">
        <v>132</v>
      </c>
      <c r="B57" s="6" t="s">
        <v>457</v>
      </c>
      <c r="C57" s="24"/>
      <c r="D57" s="6"/>
      <c r="E57" s="25" t="s">
        <v>456</v>
      </c>
      <c r="F57" s="7"/>
    </row>
    <row r="58" spans="1:6" ht="12.75">
      <c r="A58" s="21"/>
      <c r="B58" s="4" t="s">
        <v>453</v>
      </c>
      <c r="C58" s="5" t="s">
        <v>213</v>
      </c>
      <c r="D58" s="9" t="s">
        <v>455</v>
      </c>
      <c r="E58" s="9" t="s">
        <v>454</v>
      </c>
      <c r="F58" s="5" t="s">
        <v>213</v>
      </c>
    </row>
    <row r="59" spans="2:6" ht="12.75">
      <c r="B59" s="33"/>
      <c r="C59" s="33"/>
      <c r="D59" s="31"/>
      <c r="E59" s="15"/>
      <c r="F59" s="15"/>
    </row>
    <row r="60" spans="1:6" ht="12.75">
      <c r="A60" s="32" t="s">
        <v>449</v>
      </c>
      <c r="B60" s="26"/>
      <c r="C60" s="26"/>
      <c r="D60" s="21"/>
      <c r="E60" s="22"/>
      <c r="F60" s="20"/>
    </row>
    <row r="61" spans="2:6" ht="12.75">
      <c r="B61" s="3"/>
      <c r="C61" s="3"/>
      <c r="D61" s="2"/>
      <c r="E61" s="3"/>
      <c r="F61" s="3"/>
    </row>
    <row r="62" spans="1:6" ht="12.75">
      <c r="A62" s="34" t="s">
        <v>450</v>
      </c>
      <c r="B62" s="22"/>
      <c r="C62" s="20"/>
      <c r="D62" s="2"/>
      <c r="E62" s="26"/>
      <c r="F62" s="3"/>
    </row>
    <row r="63" spans="2:6" ht="12.75">
      <c r="B63" s="3"/>
      <c r="C63" s="1"/>
      <c r="D63" s="3"/>
      <c r="E63" s="3"/>
      <c r="F63" s="3"/>
    </row>
    <row r="64" spans="1:6" ht="12.75">
      <c r="A64" s="27" t="s">
        <v>451</v>
      </c>
      <c r="B64" s="22"/>
      <c r="C64" s="30"/>
      <c r="D64" s="3"/>
      <c r="E64" s="26"/>
      <c r="F64" s="3"/>
    </row>
    <row r="65" spans="2:6" ht="12.75">
      <c r="B65" s="3"/>
      <c r="C65" s="1"/>
      <c r="D65" s="3"/>
      <c r="E65" s="3"/>
      <c r="F65" s="3"/>
    </row>
    <row r="66" spans="1:6" ht="12.75">
      <c r="A66" s="28" t="s">
        <v>452</v>
      </c>
      <c r="B66" s="22">
        <f>SUM(Foglio2!M98)</f>
        <v>9805.25</v>
      </c>
      <c r="C66" s="29"/>
      <c r="D66" s="20"/>
      <c r="E66" s="22"/>
      <c r="F66" s="20"/>
    </row>
    <row r="67" ht="12.75">
      <c r="E67" s="1"/>
    </row>
    <row r="68" spans="1:3" ht="12.75">
      <c r="A68" s="39" t="s">
        <v>489</v>
      </c>
      <c r="B68" s="23">
        <f>SUM(E60,B62,B64,B66)</f>
        <v>9805.25</v>
      </c>
      <c r="C68" s="23"/>
    </row>
    <row r="71" spans="1:6" ht="15.75">
      <c r="A71" s="8" t="s">
        <v>133</v>
      </c>
      <c r="B71" s="6" t="s">
        <v>457</v>
      </c>
      <c r="C71" s="24"/>
      <c r="D71" s="6"/>
      <c r="E71" s="25" t="s">
        <v>456</v>
      </c>
      <c r="F71" s="7"/>
    </row>
    <row r="72" spans="1:6" ht="12.75">
      <c r="A72" s="21"/>
      <c r="B72" s="4" t="s">
        <v>453</v>
      </c>
      <c r="C72" s="5" t="s">
        <v>213</v>
      </c>
      <c r="D72" s="9" t="s">
        <v>455</v>
      </c>
      <c r="E72" s="9" t="s">
        <v>454</v>
      </c>
      <c r="F72" s="5" t="s">
        <v>213</v>
      </c>
    </row>
    <row r="73" spans="2:6" ht="12.75">
      <c r="B73" s="33"/>
      <c r="C73" s="33"/>
      <c r="D73" s="31"/>
      <c r="E73" s="15"/>
      <c r="F73" s="15"/>
    </row>
    <row r="74" spans="1:6" ht="12.75">
      <c r="A74" s="32" t="s">
        <v>449</v>
      </c>
      <c r="B74" s="26"/>
      <c r="C74" s="26"/>
      <c r="D74" s="35"/>
      <c r="E74" s="22"/>
      <c r="F74" s="37"/>
    </row>
    <row r="75" spans="2:6" ht="12.75">
      <c r="B75" s="3"/>
      <c r="C75" s="3"/>
      <c r="D75" s="2"/>
      <c r="E75" s="3"/>
      <c r="F75" s="3"/>
    </row>
    <row r="76" spans="1:6" ht="12.75">
      <c r="A76" s="34" t="s">
        <v>450</v>
      </c>
      <c r="B76" s="22"/>
      <c r="C76" s="20"/>
      <c r="D76" s="2"/>
      <c r="E76" s="26"/>
      <c r="F76" s="3"/>
    </row>
    <row r="77" spans="2:6" ht="12.75">
      <c r="B77" s="3"/>
      <c r="C77" s="1"/>
      <c r="D77" s="3"/>
      <c r="E77" s="3"/>
      <c r="F77" s="3"/>
    </row>
    <row r="78" spans="1:6" ht="12.75">
      <c r="A78" s="27" t="s">
        <v>451</v>
      </c>
      <c r="B78" s="22"/>
      <c r="C78" s="30"/>
      <c r="D78" s="3"/>
      <c r="E78" s="26"/>
      <c r="F78" s="3"/>
    </row>
    <row r="79" spans="2:6" ht="12.75">
      <c r="B79" s="3"/>
      <c r="C79" s="1"/>
      <c r="D79" s="3"/>
      <c r="E79" s="3"/>
      <c r="F79" s="3"/>
    </row>
    <row r="80" spans="1:6" ht="12.75">
      <c r="A80" s="28" t="s">
        <v>452</v>
      </c>
      <c r="B80" s="22">
        <f>SUM(Foglio2!M104)</f>
        <v>2049.83</v>
      </c>
      <c r="C80" s="29"/>
      <c r="D80" s="20"/>
      <c r="E80" s="22"/>
      <c r="F80" s="20"/>
    </row>
    <row r="81" ht="12.75">
      <c r="E81" s="1"/>
    </row>
    <row r="82" spans="1:3" ht="12.75">
      <c r="A82" s="39" t="s">
        <v>489</v>
      </c>
      <c r="B82" s="23">
        <f>SUM(E74,B76,B78,B80)</f>
        <v>2049.83</v>
      </c>
      <c r="C82" s="23"/>
    </row>
    <row r="85" spans="1:6" ht="15.75">
      <c r="A85" s="8" t="s">
        <v>135</v>
      </c>
      <c r="B85" s="6" t="s">
        <v>457</v>
      </c>
      <c r="C85" s="24"/>
      <c r="D85" s="6"/>
      <c r="E85" s="25" t="s">
        <v>456</v>
      </c>
      <c r="F85" s="7"/>
    </row>
    <row r="86" spans="1:6" ht="12.75">
      <c r="A86" s="21"/>
      <c r="B86" s="4" t="s">
        <v>453</v>
      </c>
      <c r="C86" s="5" t="s">
        <v>213</v>
      </c>
      <c r="D86" s="9" t="s">
        <v>455</v>
      </c>
      <c r="E86" s="9" t="s">
        <v>454</v>
      </c>
      <c r="F86" s="5" t="s">
        <v>213</v>
      </c>
    </row>
    <row r="87" spans="2:6" ht="12.75">
      <c r="B87" s="33"/>
      <c r="C87" s="33"/>
      <c r="D87" s="31"/>
      <c r="E87" s="15"/>
      <c r="F87" s="15"/>
    </row>
    <row r="88" spans="1:6" ht="12.75">
      <c r="A88" s="32" t="s">
        <v>449</v>
      </c>
      <c r="B88" s="26"/>
      <c r="C88" s="26"/>
      <c r="D88" s="35">
        <f>SUM(Foglio2!L108:L118,Foglio2!L142:L166,Foglio2!L167:L175,Foglio2!L134,Foglio2!L136:L136,Foglio2!L138)</f>
        <v>3581.09278700801</v>
      </c>
      <c r="E88" s="22">
        <f>SUM(Foglio2!M108:M118,Foglio2!M142:M175,Foglio2!M134,Foglio2!M136:M136,Foglio2!M138)</f>
        <v>5394.984180512014</v>
      </c>
      <c r="F88" s="37">
        <v>15000000</v>
      </c>
    </row>
    <row r="89" spans="2:6" ht="12.75">
      <c r="B89" s="3"/>
      <c r="C89" s="3"/>
      <c r="D89" s="2"/>
      <c r="E89" s="3"/>
      <c r="F89" s="3"/>
    </row>
    <row r="90" spans="1:6" ht="12.75">
      <c r="A90" s="34" t="s">
        <v>450</v>
      </c>
      <c r="B90" s="22" t="e">
        <f>SUM(Foglio2!M119:M127,Foglio2!M176:M183,Foglio2!#REF!)</f>
        <v>#REF!</v>
      </c>
      <c r="C90" s="37">
        <v>1892414</v>
      </c>
      <c r="D90" s="2"/>
      <c r="E90" s="26"/>
      <c r="F90" s="3"/>
    </row>
    <row r="91" spans="2:6" ht="12.75">
      <c r="B91" s="3"/>
      <c r="C91" s="1"/>
      <c r="D91" s="3"/>
      <c r="E91" s="3"/>
      <c r="F91" s="3"/>
    </row>
    <row r="92" spans="1:6" ht="12.75">
      <c r="A92" s="27" t="s">
        <v>451</v>
      </c>
      <c r="B92" s="22">
        <f>SUM(Foglio2!M137)</f>
        <v>1141.37</v>
      </c>
      <c r="C92" s="30">
        <v>0</v>
      </c>
      <c r="D92" s="3"/>
      <c r="E92" s="26"/>
      <c r="F92" s="3"/>
    </row>
    <row r="93" spans="2:6" ht="12.75">
      <c r="B93" s="3"/>
      <c r="C93" s="1"/>
      <c r="D93" s="3"/>
      <c r="E93" s="3"/>
      <c r="F93" s="3"/>
    </row>
    <row r="94" spans="1:6" ht="12.75">
      <c r="A94" s="28" t="s">
        <v>452</v>
      </c>
      <c r="B94" s="22">
        <f>SUM(Foglio2!M135)</f>
        <v>42455.85</v>
      </c>
      <c r="C94" s="29"/>
      <c r="D94" s="20"/>
      <c r="E94" s="22"/>
      <c r="F94" s="20"/>
    </row>
    <row r="95" ht="12.75">
      <c r="E95" s="1"/>
    </row>
    <row r="96" spans="1:3" ht="12.75">
      <c r="A96" s="39" t="s">
        <v>489</v>
      </c>
      <c r="B96" s="23" t="e">
        <f>SUM(E88,B90,B92,B94)</f>
        <v>#REF!</v>
      </c>
      <c r="C96" s="23"/>
    </row>
    <row r="99" spans="1:6" ht="15.75">
      <c r="A99" s="8" t="s">
        <v>459</v>
      </c>
      <c r="B99" s="6" t="s">
        <v>457</v>
      </c>
      <c r="C99" s="24"/>
      <c r="D99" s="6"/>
      <c r="E99" s="25" t="s">
        <v>456</v>
      </c>
      <c r="F99" s="7"/>
    </row>
    <row r="100" spans="1:6" ht="12.75">
      <c r="A100" s="21"/>
      <c r="B100" s="4" t="s">
        <v>453</v>
      </c>
      <c r="C100" s="5" t="s">
        <v>213</v>
      </c>
      <c r="D100" s="9" t="s">
        <v>455</v>
      </c>
      <c r="E100" s="9" t="s">
        <v>454</v>
      </c>
      <c r="F100" s="5" t="s">
        <v>213</v>
      </c>
    </row>
    <row r="101" spans="2:6" ht="12.75">
      <c r="B101" s="33"/>
      <c r="C101" s="33"/>
      <c r="D101" s="31"/>
      <c r="E101" s="15"/>
      <c r="F101" s="15"/>
    </row>
    <row r="102" spans="1:6" ht="12.75">
      <c r="A102" s="32" t="s">
        <v>449</v>
      </c>
      <c r="B102" s="26"/>
      <c r="C102" s="26"/>
      <c r="D102" s="35" t="e">
        <f>SUM(Foglio2!#REF!,Foglio2!L190:L205)</f>
        <v>#REF!</v>
      </c>
      <c r="E102" s="22" t="e">
        <f>SUM(Foglio2!#REF!,Foglio2!M190:M205)</f>
        <v>#REF!</v>
      </c>
      <c r="F102" s="37">
        <v>440000</v>
      </c>
    </row>
    <row r="103" spans="2:6" ht="12.75">
      <c r="B103" s="3"/>
      <c r="C103" s="3"/>
      <c r="D103" s="2"/>
      <c r="E103" s="3"/>
      <c r="F103" s="3"/>
    </row>
    <row r="104" spans="1:6" ht="12.75">
      <c r="A104" s="34" t="s">
        <v>450</v>
      </c>
      <c r="B104" s="22" t="e">
        <f>SUM(Foglio2!#REF!)</f>
        <v>#REF!</v>
      </c>
      <c r="C104" s="37">
        <v>0</v>
      </c>
      <c r="D104" s="2"/>
      <c r="E104" s="26"/>
      <c r="F104" s="3"/>
    </row>
    <row r="105" spans="2:6" ht="12.75">
      <c r="B105" s="3"/>
      <c r="C105" s="1"/>
      <c r="D105" s="3"/>
      <c r="E105" s="3"/>
      <c r="F105" s="3"/>
    </row>
    <row r="106" spans="1:6" ht="12.75">
      <c r="A106" s="27" t="s">
        <v>451</v>
      </c>
      <c r="B106" s="22"/>
      <c r="C106" s="30"/>
      <c r="D106" s="3"/>
      <c r="E106" s="26"/>
      <c r="F106" s="3"/>
    </row>
    <row r="107" spans="2:6" ht="12.75">
      <c r="B107" s="3"/>
      <c r="C107" s="1"/>
      <c r="D107" s="3"/>
      <c r="E107" s="3"/>
      <c r="F107" s="3"/>
    </row>
    <row r="108" spans="1:6" ht="12.75">
      <c r="A108" s="28" t="s">
        <v>452</v>
      </c>
      <c r="B108" s="22">
        <f>SUM(Foglio2!M187,Foglio2!M188:M189)</f>
        <v>61946.16152261823</v>
      </c>
      <c r="C108" s="29"/>
      <c r="D108" s="20"/>
      <c r="E108" s="22"/>
      <c r="F108" s="20"/>
    </row>
    <row r="109" ht="12.75">
      <c r="E109" s="1"/>
    </row>
    <row r="110" spans="1:3" ht="12.75">
      <c r="A110" s="39" t="s">
        <v>489</v>
      </c>
      <c r="B110" s="23" t="e">
        <f>SUM(E102,B104,B106,B108)</f>
        <v>#REF!</v>
      </c>
      <c r="C110" s="23"/>
    </row>
    <row r="112" spans="1:6" ht="15.75">
      <c r="A112" s="8" t="s">
        <v>234</v>
      </c>
      <c r="B112" s="6" t="s">
        <v>457</v>
      </c>
      <c r="C112" s="24"/>
      <c r="D112" s="6"/>
      <c r="E112" s="25" t="s">
        <v>456</v>
      </c>
      <c r="F112" s="7"/>
    </row>
    <row r="113" spans="1:6" ht="12.75">
      <c r="A113" s="21"/>
      <c r="B113" s="4" t="s">
        <v>453</v>
      </c>
      <c r="C113" s="5" t="s">
        <v>213</v>
      </c>
      <c r="D113" s="9" t="s">
        <v>455</v>
      </c>
      <c r="E113" s="9" t="s">
        <v>454</v>
      </c>
      <c r="F113" s="5" t="s">
        <v>213</v>
      </c>
    </row>
    <row r="114" spans="2:6" ht="12.75">
      <c r="B114" s="33"/>
      <c r="C114" s="33"/>
      <c r="D114" s="31"/>
      <c r="E114" s="15"/>
      <c r="F114" s="15"/>
    </row>
    <row r="115" spans="1:6" ht="12.75">
      <c r="A115" s="32" t="s">
        <v>449</v>
      </c>
      <c r="B115" s="26"/>
      <c r="C115" s="26"/>
      <c r="D115" s="35">
        <f>SUM(Foglio2!L210:L222)</f>
        <v>220.79</v>
      </c>
      <c r="E115" s="22">
        <f>SUM(Foglio2!M210:M222)</f>
        <v>4768.74</v>
      </c>
      <c r="F115" s="37">
        <v>0</v>
      </c>
    </row>
    <row r="116" spans="2:6" ht="12.75">
      <c r="B116" s="3"/>
      <c r="C116" s="3"/>
      <c r="D116" s="2"/>
      <c r="E116" s="3"/>
      <c r="F116" s="3"/>
    </row>
    <row r="117" spans="1:6" ht="12.75">
      <c r="A117" s="34" t="s">
        <v>450</v>
      </c>
      <c r="B117" s="22" t="e">
        <f>SUM(Foglio2!#REF!)</f>
        <v>#REF!</v>
      </c>
      <c r="C117" s="37">
        <v>0</v>
      </c>
      <c r="D117" s="2"/>
      <c r="E117" s="26"/>
      <c r="F117" s="3"/>
    </row>
    <row r="118" spans="2:6" ht="12.75">
      <c r="B118" s="3"/>
      <c r="C118" s="1"/>
      <c r="D118" s="3"/>
      <c r="E118" s="3"/>
      <c r="F118" s="3"/>
    </row>
    <row r="119" spans="1:6" ht="12.75">
      <c r="A119" s="27" t="s">
        <v>451</v>
      </c>
      <c r="B119" s="22"/>
      <c r="C119" s="30"/>
      <c r="D119" s="3"/>
      <c r="E119" s="26"/>
      <c r="F119" s="3"/>
    </row>
    <row r="120" spans="2:6" ht="12.75">
      <c r="B120" s="3"/>
      <c r="C120" s="1"/>
      <c r="D120" s="3"/>
      <c r="E120" s="3"/>
      <c r="F120" s="3"/>
    </row>
    <row r="121" spans="1:6" ht="12.75">
      <c r="A121" s="28" t="s">
        <v>452</v>
      </c>
      <c r="B121" s="22">
        <f>SUM(Foglio2!M209,Foglio2!M220,Foglio2!M227)</f>
        <v>17583.92</v>
      </c>
      <c r="C121" s="29"/>
      <c r="D121" s="20"/>
      <c r="E121" s="22"/>
      <c r="F121" s="20"/>
    </row>
    <row r="122" ht="12.75">
      <c r="E122" s="1"/>
    </row>
    <row r="123" spans="1:3" ht="12.75">
      <c r="A123" s="39" t="s">
        <v>489</v>
      </c>
      <c r="B123" s="23" t="e">
        <f>SUM(E115,B117,B119,B121)</f>
        <v>#REF!</v>
      </c>
      <c r="C123" s="23"/>
    </row>
    <row r="126" spans="1:6" ht="15.75">
      <c r="A126" s="8" t="s">
        <v>240</v>
      </c>
      <c r="B126" s="6" t="s">
        <v>457</v>
      </c>
      <c r="C126" s="24"/>
      <c r="D126" s="6"/>
      <c r="E126" s="25" t="s">
        <v>456</v>
      </c>
      <c r="F126" s="7"/>
    </row>
    <row r="127" spans="1:6" ht="12.75">
      <c r="A127" s="21"/>
      <c r="B127" s="4" t="s">
        <v>453</v>
      </c>
      <c r="C127" s="5" t="s">
        <v>213</v>
      </c>
      <c r="D127" s="9" t="s">
        <v>455</v>
      </c>
      <c r="E127" s="9" t="s">
        <v>454</v>
      </c>
      <c r="F127" s="5" t="s">
        <v>213</v>
      </c>
    </row>
    <row r="128" spans="2:6" ht="12.75">
      <c r="B128" s="33"/>
      <c r="C128" s="33"/>
      <c r="D128" s="31"/>
      <c r="E128" s="15"/>
      <c r="F128" s="15"/>
    </row>
    <row r="129" spans="1:6" ht="12.75">
      <c r="A129" s="32" t="s">
        <v>449</v>
      </c>
      <c r="B129" s="26"/>
      <c r="C129" s="26"/>
      <c r="D129" s="35">
        <f>SUM(Foglio2!L240:L244)</f>
        <v>51.6</v>
      </c>
      <c r="E129" s="22">
        <f>SUM(Foglio2!M240:M244)</f>
        <v>82.32</v>
      </c>
      <c r="F129" s="37">
        <v>0</v>
      </c>
    </row>
    <row r="130" spans="2:6" ht="12.75">
      <c r="B130" s="3"/>
      <c r="C130" s="3"/>
      <c r="D130" s="2"/>
      <c r="E130" s="3"/>
      <c r="F130" s="3"/>
    </row>
    <row r="131" spans="1:6" ht="12.75">
      <c r="A131" s="34" t="s">
        <v>450</v>
      </c>
      <c r="B131" s="22" t="e">
        <f>SUM(Foglio2!#REF!,Foglio2!#REF!,Foglio2!#REF!)</f>
        <v>#REF!</v>
      </c>
      <c r="C131" s="37">
        <v>0</v>
      </c>
      <c r="D131" s="2"/>
      <c r="E131" s="26"/>
      <c r="F131" s="3"/>
    </row>
    <row r="132" spans="2:6" ht="12.75">
      <c r="B132" s="3"/>
      <c r="C132" s="1"/>
      <c r="D132" s="3"/>
      <c r="E132" s="3"/>
      <c r="F132" s="3"/>
    </row>
    <row r="133" spans="1:6" ht="12.75">
      <c r="A133" s="27" t="s">
        <v>451</v>
      </c>
      <c r="B133" s="22" t="e">
        <f>SUM(Foglio2!M232:M238,Foglio2!#REF!,Foglio2!#REF!,Foglio2!#REF!)</f>
        <v>#REF!</v>
      </c>
      <c r="C133" s="30">
        <v>4654383</v>
      </c>
      <c r="D133" s="3"/>
      <c r="E133" s="26"/>
      <c r="F133" s="3"/>
    </row>
    <row r="134" spans="2:6" ht="12.75">
      <c r="B134" s="3"/>
      <c r="C134" s="1"/>
      <c r="D134" s="3"/>
      <c r="E134" s="3"/>
      <c r="F134" s="3"/>
    </row>
    <row r="135" spans="1:6" ht="12.75">
      <c r="A135" s="28" t="s">
        <v>452</v>
      </c>
      <c r="B135" s="22" t="e">
        <f>SUM(Foglio2!M231,Foglio2!#REF!)</f>
        <v>#REF!</v>
      </c>
      <c r="C135" s="29"/>
      <c r="D135" s="20"/>
      <c r="E135" s="22"/>
      <c r="F135" s="20"/>
    </row>
    <row r="136" ht="12.75">
      <c r="E136" s="1"/>
    </row>
    <row r="137" spans="1:3" ht="12.75">
      <c r="A137" s="39" t="s">
        <v>489</v>
      </c>
      <c r="B137" s="23" t="e">
        <f>SUM(E129,B131,B133,B135)</f>
        <v>#REF!</v>
      </c>
      <c r="C137" s="23"/>
    </row>
    <row r="140" spans="1:6" ht="15.75">
      <c r="A140" s="8" t="s">
        <v>253</v>
      </c>
      <c r="B140" s="6" t="s">
        <v>457</v>
      </c>
      <c r="C140" s="24"/>
      <c r="D140" s="6"/>
      <c r="E140" s="25" t="s">
        <v>456</v>
      </c>
      <c r="F140" s="7"/>
    </row>
    <row r="141" spans="1:6" ht="12.75">
      <c r="A141" s="21"/>
      <c r="B141" s="4" t="s">
        <v>453</v>
      </c>
      <c r="C141" s="5" t="s">
        <v>213</v>
      </c>
      <c r="D141" s="9" t="s">
        <v>455</v>
      </c>
      <c r="E141" s="9" t="s">
        <v>454</v>
      </c>
      <c r="F141" s="5" t="s">
        <v>213</v>
      </c>
    </row>
    <row r="142" spans="2:6" ht="12.75">
      <c r="B142" s="33"/>
      <c r="C142" s="33"/>
      <c r="D142" s="31"/>
      <c r="E142" s="15"/>
      <c r="F142" s="15"/>
    </row>
    <row r="143" spans="1:6" ht="12.75">
      <c r="A143" s="32" t="s">
        <v>449</v>
      </c>
      <c r="B143" s="26"/>
      <c r="C143" s="26"/>
      <c r="D143" s="21"/>
      <c r="E143" s="22"/>
      <c r="F143" s="20"/>
    </row>
    <row r="144" spans="2:6" ht="12.75">
      <c r="B144" s="3"/>
      <c r="C144" s="3"/>
      <c r="D144" s="2"/>
      <c r="E144" s="3"/>
      <c r="F144" s="3"/>
    </row>
    <row r="145" spans="1:6" ht="12.75">
      <c r="A145" s="34" t="s">
        <v>450</v>
      </c>
      <c r="B145" s="22"/>
      <c r="C145" s="20"/>
      <c r="D145" s="2"/>
      <c r="E145" s="26"/>
      <c r="F145" s="3"/>
    </row>
    <row r="146" spans="2:6" ht="12.75">
      <c r="B146" s="3"/>
      <c r="C146" s="1"/>
      <c r="D146" s="3"/>
      <c r="E146" s="3"/>
      <c r="F146" s="3"/>
    </row>
    <row r="147" spans="1:6" ht="12.75">
      <c r="A147" s="27" t="s">
        <v>451</v>
      </c>
      <c r="B147" s="22"/>
      <c r="C147" s="30"/>
      <c r="D147" s="3"/>
      <c r="E147" s="26"/>
      <c r="F147" s="3"/>
    </row>
    <row r="148" spans="2:6" ht="12.75">
      <c r="B148" s="3"/>
      <c r="C148" s="1"/>
      <c r="D148" s="3"/>
      <c r="E148" s="3"/>
      <c r="F148" s="3"/>
    </row>
    <row r="149" spans="1:6" ht="12.75">
      <c r="A149" s="28" t="s">
        <v>452</v>
      </c>
      <c r="B149" s="22">
        <f>SUM(Foglio2!M248)</f>
        <v>16907.61</v>
      </c>
      <c r="C149" s="29"/>
      <c r="D149" s="20"/>
      <c r="E149" s="22"/>
      <c r="F149" s="20"/>
    </row>
    <row r="150" ht="12.75">
      <c r="E150" s="1"/>
    </row>
    <row r="151" spans="1:3" ht="12.75">
      <c r="A151" s="39" t="s">
        <v>489</v>
      </c>
      <c r="B151" s="23">
        <f>SUM(E143,B145,B147,B149)</f>
        <v>16907.61</v>
      </c>
      <c r="C151" s="23"/>
    </row>
    <row r="154" spans="1:6" ht="15.75">
      <c r="A154" s="8" t="s">
        <v>254</v>
      </c>
      <c r="B154" s="6" t="s">
        <v>457</v>
      </c>
      <c r="C154" s="24"/>
      <c r="D154" s="6"/>
      <c r="E154" s="25" t="s">
        <v>456</v>
      </c>
      <c r="F154" s="7"/>
    </row>
    <row r="155" spans="1:6" ht="12.75">
      <c r="A155" s="21"/>
      <c r="B155" s="4" t="s">
        <v>453</v>
      </c>
      <c r="C155" s="5" t="s">
        <v>213</v>
      </c>
      <c r="D155" s="9" t="s">
        <v>455</v>
      </c>
      <c r="E155" s="9" t="s">
        <v>454</v>
      </c>
      <c r="F155" s="5" t="s">
        <v>213</v>
      </c>
    </row>
    <row r="156" spans="2:6" ht="12.75">
      <c r="B156" s="33"/>
      <c r="C156" s="33"/>
      <c r="D156" s="31"/>
      <c r="E156" s="15"/>
      <c r="F156" s="15"/>
    </row>
    <row r="157" spans="1:6" ht="12.75">
      <c r="A157" s="32" t="s">
        <v>449</v>
      </c>
      <c r="B157" s="26"/>
      <c r="C157" s="26"/>
      <c r="D157" s="35">
        <f>SUM(Foglio2!L256,Foglio2!L260,Foglio2!L270:L287,Foglio2!L293:L297)</f>
        <v>1324.5900000000001</v>
      </c>
      <c r="E157" s="22">
        <f>SUM(Foglio2!M256,Foglio2!M260,Foglio2!M270:M287,Foglio2!M293:M297)</f>
        <v>1180.69</v>
      </c>
      <c r="F157" s="37">
        <v>15000</v>
      </c>
    </row>
    <row r="158" spans="2:6" ht="12.75">
      <c r="B158" s="3"/>
      <c r="C158" s="3"/>
      <c r="D158" s="2"/>
      <c r="E158" s="3"/>
      <c r="F158" s="3"/>
    </row>
    <row r="159" spans="1:6" ht="12.75">
      <c r="A159" s="34" t="s">
        <v>450</v>
      </c>
      <c r="B159" s="22">
        <f>SUM(Foglio2!M253:M255,Foglio2!M257,Foglio2!M259,Foglio2!M262:M267,Foglio2!M289,Foglio2!M298)</f>
        <v>2986.94</v>
      </c>
      <c r="C159" s="37">
        <v>0</v>
      </c>
      <c r="D159" s="2"/>
      <c r="E159" s="26"/>
      <c r="F159" s="3"/>
    </row>
    <row r="160" spans="2:6" ht="12.75">
      <c r="B160" s="3"/>
      <c r="C160" s="1"/>
      <c r="D160" s="3"/>
      <c r="E160" s="3"/>
      <c r="F160" s="3"/>
    </row>
    <row r="161" spans="1:6" ht="12.75">
      <c r="A161" s="27" t="s">
        <v>451</v>
      </c>
      <c r="B161" s="22">
        <f>SUM(Foglio2!M269,Foglio2!M288)</f>
        <v>2093.9700000000003</v>
      </c>
      <c r="C161" s="30">
        <v>12467361</v>
      </c>
      <c r="D161" s="3"/>
      <c r="E161" s="26"/>
      <c r="F161" s="3"/>
    </row>
    <row r="162" spans="2:6" ht="12.75">
      <c r="B162" s="3"/>
      <c r="C162" s="1"/>
      <c r="D162" s="3"/>
      <c r="E162" s="3"/>
      <c r="F162" s="3"/>
    </row>
    <row r="163" spans="1:6" ht="12.75">
      <c r="A163" s="28" t="s">
        <v>452</v>
      </c>
      <c r="B163" s="22">
        <f>SUM(Foglio2!M252,Foglio2!M258,Foglio2!M261,Foglio2!M268)</f>
        <v>70304.48999999999</v>
      </c>
      <c r="C163" s="29"/>
      <c r="D163" s="20"/>
      <c r="E163" s="22"/>
      <c r="F163" s="20"/>
    </row>
    <row r="164" ht="12.75">
      <c r="E164" s="1"/>
    </row>
    <row r="165" spans="1:3" ht="12.75">
      <c r="A165" s="39" t="s">
        <v>489</v>
      </c>
      <c r="B165" s="23">
        <f>SUM(E157,B159,B161,B163)</f>
        <v>76566.09</v>
      </c>
      <c r="C165" s="23"/>
    </row>
    <row r="167" spans="1:6" ht="15.75">
      <c r="A167" s="8" t="s">
        <v>460</v>
      </c>
      <c r="B167" s="6" t="s">
        <v>457</v>
      </c>
      <c r="C167" s="24"/>
      <c r="D167" s="6"/>
      <c r="E167" s="25" t="s">
        <v>456</v>
      </c>
      <c r="F167" s="7"/>
    </row>
    <row r="168" spans="1:6" ht="12.75">
      <c r="A168" s="21"/>
      <c r="B168" s="4" t="s">
        <v>453</v>
      </c>
      <c r="C168" s="5" t="s">
        <v>213</v>
      </c>
      <c r="D168" s="9" t="s">
        <v>455</v>
      </c>
      <c r="E168" s="9" t="s">
        <v>454</v>
      </c>
      <c r="F168" s="5" t="s">
        <v>213</v>
      </c>
    </row>
    <row r="169" spans="2:6" ht="12.75">
      <c r="B169" s="33"/>
      <c r="C169" s="33"/>
      <c r="D169" s="31"/>
      <c r="E169" s="15"/>
      <c r="F169" s="15"/>
    </row>
    <row r="170" spans="1:6" ht="12.75">
      <c r="A170" s="32" t="s">
        <v>449</v>
      </c>
      <c r="B170" s="26"/>
      <c r="C170" s="26"/>
      <c r="D170" s="35" t="e">
        <f>SUM(Foglio2!#REF!)</f>
        <v>#REF!</v>
      </c>
      <c r="E170" s="22" t="e">
        <f>SUM(Foglio2!#REF!)</f>
        <v>#REF!</v>
      </c>
      <c r="F170" s="37">
        <v>0</v>
      </c>
    </row>
    <row r="171" spans="2:6" ht="12.75">
      <c r="B171" s="3"/>
      <c r="C171" s="3"/>
      <c r="D171" s="2"/>
      <c r="E171" s="3"/>
      <c r="F171" s="3"/>
    </row>
    <row r="172" spans="1:6" ht="12.75">
      <c r="A172" s="34" t="s">
        <v>450</v>
      </c>
      <c r="B172" s="22"/>
      <c r="C172" s="20"/>
      <c r="D172" s="2"/>
      <c r="E172" s="26"/>
      <c r="F172" s="3"/>
    </row>
    <row r="173" spans="2:6" ht="12.75">
      <c r="B173" s="3"/>
      <c r="C173" s="1"/>
      <c r="D173" s="3"/>
      <c r="E173" s="3"/>
      <c r="F173" s="3"/>
    </row>
    <row r="174" spans="1:6" ht="12.75">
      <c r="A174" s="27" t="s">
        <v>451</v>
      </c>
      <c r="B174" s="22"/>
      <c r="C174" s="30"/>
      <c r="D174" s="3"/>
      <c r="E174" s="26"/>
      <c r="F174" s="3"/>
    </row>
    <row r="175" spans="2:6" ht="12.75">
      <c r="B175" s="3"/>
      <c r="C175" s="1"/>
      <c r="D175" s="3"/>
      <c r="E175" s="3"/>
      <c r="F175" s="3"/>
    </row>
    <row r="176" spans="1:6" ht="12.75">
      <c r="A176" s="28" t="s">
        <v>452</v>
      </c>
      <c r="B176" s="22">
        <f>SUM(Foglio2!M302)</f>
        <v>1049.7</v>
      </c>
      <c r="C176" s="29"/>
      <c r="D176" s="20"/>
      <c r="E176" s="22"/>
      <c r="F176" s="20"/>
    </row>
    <row r="177" ht="12.75">
      <c r="E177" s="1"/>
    </row>
    <row r="178" spans="1:3" ht="12.75">
      <c r="A178" s="39" t="s">
        <v>489</v>
      </c>
      <c r="B178" s="23" t="e">
        <f>SUM(E170,B172,B174,B176)</f>
        <v>#REF!</v>
      </c>
      <c r="C178" s="23"/>
    </row>
    <row r="181" spans="1:6" ht="15.75">
      <c r="A181" s="8" t="s">
        <v>461</v>
      </c>
      <c r="B181" s="6" t="s">
        <v>457</v>
      </c>
      <c r="C181" s="24"/>
      <c r="D181" s="6"/>
      <c r="E181" s="25" t="s">
        <v>456</v>
      </c>
      <c r="F181" s="7"/>
    </row>
    <row r="182" spans="1:6" ht="12.75">
      <c r="A182" s="21"/>
      <c r="B182" s="4" t="s">
        <v>453</v>
      </c>
      <c r="C182" s="5" t="s">
        <v>213</v>
      </c>
      <c r="D182" s="9" t="s">
        <v>455</v>
      </c>
      <c r="E182" s="9" t="s">
        <v>454</v>
      </c>
      <c r="F182" s="5" t="s">
        <v>213</v>
      </c>
    </row>
    <row r="183" spans="2:6" ht="12.75">
      <c r="B183" s="33"/>
      <c r="C183" s="33"/>
      <c r="D183" s="31"/>
      <c r="E183" s="15"/>
      <c r="F183" s="15"/>
    </row>
    <row r="184" spans="1:6" ht="12.75">
      <c r="A184" s="32" t="s">
        <v>449</v>
      </c>
      <c r="B184" s="26"/>
      <c r="C184" s="26"/>
      <c r="D184" s="21"/>
      <c r="E184" s="22"/>
      <c r="F184" s="20"/>
    </row>
    <row r="185" spans="2:6" ht="12.75">
      <c r="B185" s="3"/>
      <c r="C185" s="3"/>
      <c r="D185" s="2"/>
      <c r="E185" s="3"/>
      <c r="F185" s="3"/>
    </row>
    <row r="186" spans="1:6" ht="12.75">
      <c r="A186" s="34" t="s">
        <v>450</v>
      </c>
      <c r="B186" s="22"/>
      <c r="C186" s="20"/>
      <c r="D186" s="2"/>
      <c r="E186" s="26"/>
      <c r="F186" s="3"/>
    </row>
    <row r="187" spans="2:6" ht="12.75">
      <c r="B187" s="3"/>
      <c r="C187" s="1"/>
      <c r="D187" s="3"/>
      <c r="E187" s="3"/>
      <c r="F187" s="3"/>
    </row>
    <row r="188" spans="1:6" ht="12.75">
      <c r="A188" s="27" t="s">
        <v>451</v>
      </c>
      <c r="B188" s="22"/>
      <c r="C188" s="30"/>
      <c r="D188" s="3"/>
      <c r="E188" s="26"/>
      <c r="F188" s="3"/>
    </row>
    <row r="189" spans="2:6" ht="12.75">
      <c r="B189" s="3"/>
      <c r="C189" s="1"/>
      <c r="D189" s="3"/>
      <c r="E189" s="3"/>
      <c r="F189" s="3"/>
    </row>
    <row r="190" spans="1:6" ht="12.75">
      <c r="A190" s="28" t="s">
        <v>452</v>
      </c>
      <c r="B190" s="22">
        <f>SUM(Foglio2!M306)</f>
        <v>1279.79</v>
      </c>
      <c r="C190" s="29"/>
      <c r="D190" s="20"/>
      <c r="E190" s="22"/>
      <c r="F190" s="20"/>
    </row>
    <row r="191" ht="12.75">
      <c r="E191" s="1"/>
    </row>
    <row r="192" spans="1:3" ht="12.75">
      <c r="A192" s="39" t="s">
        <v>489</v>
      </c>
      <c r="B192" s="23">
        <f>SUM(E184,B186,B188,B190)</f>
        <v>1279.79</v>
      </c>
      <c r="C192" s="23"/>
    </row>
    <row r="195" spans="1:6" ht="15.75">
      <c r="A195" s="8" t="s">
        <v>462</v>
      </c>
      <c r="B195" s="6" t="s">
        <v>457</v>
      </c>
      <c r="C195" s="24"/>
      <c r="D195" s="6"/>
      <c r="E195" s="25" t="s">
        <v>456</v>
      </c>
      <c r="F195" s="7"/>
    </row>
    <row r="196" spans="1:6" ht="12.75">
      <c r="A196" s="21"/>
      <c r="B196" s="4" t="s">
        <v>453</v>
      </c>
      <c r="C196" s="5" t="s">
        <v>213</v>
      </c>
      <c r="D196" s="9" t="s">
        <v>455</v>
      </c>
      <c r="E196" s="9" t="s">
        <v>454</v>
      </c>
      <c r="F196" s="5" t="s">
        <v>213</v>
      </c>
    </row>
    <row r="197" spans="2:6" ht="12.75">
      <c r="B197" s="33"/>
      <c r="C197" s="33"/>
      <c r="D197" s="31"/>
      <c r="E197" s="15"/>
      <c r="F197" s="15"/>
    </row>
    <row r="198" spans="1:6" ht="12.75">
      <c r="A198" s="32" t="s">
        <v>449</v>
      </c>
      <c r="B198" s="26"/>
      <c r="C198" s="26"/>
      <c r="D198" s="35">
        <f>SUM(Foglio2!L343:L350,Foglio2!L351:L388,Foglio2!L392:L394)</f>
        <v>11025.041269864223</v>
      </c>
      <c r="E198" s="22">
        <f>SUM(Foglio2!M343:M394)</f>
        <v>21177.31911980251</v>
      </c>
      <c r="F198" s="37">
        <v>26298689</v>
      </c>
    </row>
    <row r="199" spans="2:6" ht="12.75">
      <c r="B199" s="3"/>
      <c r="C199" s="3"/>
      <c r="D199" s="2"/>
      <c r="E199" s="3"/>
      <c r="F199" s="3"/>
    </row>
    <row r="200" spans="1:6" ht="12.75">
      <c r="A200" s="34" t="s">
        <v>450</v>
      </c>
      <c r="B200" s="22">
        <f>SUM(Foglio2!M313:M315,Foglio2!M319:M325,Foglio2!M329,Foglio2!M333:M334,Foglio2!M341)</f>
        <v>2210.0740082736397</v>
      </c>
      <c r="C200" s="37">
        <v>1410000</v>
      </c>
      <c r="D200" s="2"/>
      <c r="E200" s="26"/>
      <c r="F200" s="3"/>
    </row>
    <row r="201" spans="2:6" ht="12.75">
      <c r="B201" s="3"/>
      <c r="C201" s="1"/>
      <c r="D201" s="3"/>
      <c r="E201" s="3"/>
      <c r="F201" s="3"/>
    </row>
    <row r="202" spans="1:6" ht="12.75">
      <c r="A202" s="27" t="s">
        <v>451</v>
      </c>
      <c r="B202" s="22">
        <f>SUM(Foglio2!M310:M312,Foglio2!M316:M318,Foglio2!M326:M328,Foglio2!M330:M332,Foglio2!M337:M340)</f>
        <v>8241.929605375282</v>
      </c>
      <c r="C202" s="30">
        <v>4200000</v>
      </c>
      <c r="D202" s="3"/>
      <c r="E202" s="26"/>
      <c r="F202" s="3"/>
    </row>
    <row r="203" spans="2:6" ht="12.75">
      <c r="B203" s="3"/>
      <c r="C203" s="1"/>
      <c r="D203" s="3"/>
      <c r="E203" s="3"/>
      <c r="F203" s="3"/>
    </row>
    <row r="204" spans="1:6" ht="12.75">
      <c r="A204" s="28" t="s">
        <v>452</v>
      </c>
      <c r="B204" s="22">
        <f>SUM(Foglio2!M336,Foglio2!M342)</f>
        <v>65842.48992227323</v>
      </c>
      <c r="C204" s="29"/>
      <c r="D204" s="20"/>
      <c r="E204" s="22"/>
      <c r="F204" s="20"/>
    </row>
    <row r="205" ht="12.75">
      <c r="E205" s="1"/>
    </row>
    <row r="206" spans="1:3" ht="12.75">
      <c r="A206" s="39" t="s">
        <v>489</v>
      </c>
      <c r="B206" s="23">
        <f>SUM(E198,B200,B202,B204)</f>
        <v>97471.81265572467</v>
      </c>
      <c r="C206" s="23"/>
    </row>
    <row r="209" spans="1:6" ht="15.75">
      <c r="A209" s="8" t="s">
        <v>463</v>
      </c>
      <c r="B209" s="6" t="s">
        <v>457</v>
      </c>
      <c r="C209" s="24"/>
      <c r="D209" s="6"/>
      <c r="E209" s="25" t="s">
        <v>456</v>
      </c>
      <c r="F209" s="7"/>
    </row>
    <row r="210" spans="1:6" ht="12.75">
      <c r="A210" s="21"/>
      <c r="B210" s="4" t="s">
        <v>453</v>
      </c>
      <c r="C210" s="5" t="s">
        <v>213</v>
      </c>
      <c r="D210" s="9" t="s">
        <v>455</v>
      </c>
      <c r="E210" s="9" t="s">
        <v>454</v>
      </c>
      <c r="F210" s="5" t="s">
        <v>213</v>
      </c>
    </row>
    <row r="211" spans="2:6" ht="12.75">
      <c r="B211" s="33"/>
      <c r="C211" s="33"/>
      <c r="D211" s="31"/>
      <c r="E211" s="15"/>
      <c r="F211" s="15"/>
    </row>
    <row r="212" spans="1:6" ht="12.75">
      <c r="A212" s="32" t="s">
        <v>449</v>
      </c>
      <c r="B212" s="26"/>
      <c r="C212" s="26"/>
      <c r="D212" s="21"/>
      <c r="E212" s="22"/>
      <c r="F212" s="20"/>
    </row>
    <row r="213" spans="2:6" ht="12.75">
      <c r="B213" s="3"/>
      <c r="C213" s="3"/>
      <c r="D213" s="2"/>
      <c r="E213" s="3"/>
      <c r="F213" s="3"/>
    </row>
    <row r="214" spans="1:6" ht="12.75">
      <c r="A214" s="34" t="s">
        <v>450</v>
      </c>
      <c r="B214" s="22"/>
      <c r="C214" s="20"/>
      <c r="D214" s="2"/>
      <c r="E214" s="26"/>
      <c r="F214" s="3"/>
    </row>
    <row r="215" spans="2:6" ht="12.75">
      <c r="B215" s="3"/>
      <c r="C215" s="1"/>
      <c r="D215" s="3"/>
      <c r="E215" s="3"/>
      <c r="F215" s="3"/>
    </row>
    <row r="216" spans="1:6" ht="12.75">
      <c r="A216" s="27" t="s">
        <v>451</v>
      </c>
      <c r="B216" s="22"/>
      <c r="C216" s="30"/>
      <c r="D216" s="3"/>
      <c r="E216" s="26"/>
      <c r="F216" s="3"/>
    </row>
    <row r="217" spans="2:6" ht="12.75">
      <c r="B217" s="3"/>
      <c r="C217" s="1"/>
      <c r="D217" s="3"/>
      <c r="E217" s="3"/>
      <c r="F217" s="3"/>
    </row>
    <row r="218" spans="1:6" ht="12.75">
      <c r="A218" s="28" t="s">
        <v>452</v>
      </c>
      <c r="B218" s="22">
        <f>SUM(Foglio2!M398)</f>
        <v>700.3155551653437</v>
      </c>
      <c r="C218" s="29"/>
      <c r="D218" s="20"/>
      <c r="E218" s="22"/>
      <c r="F218" s="20"/>
    </row>
    <row r="219" ht="12.75">
      <c r="E219" s="1"/>
    </row>
    <row r="220" spans="1:3" ht="12.75">
      <c r="A220" s="39" t="s">
        <v>489</v>
      </c>
      <c r="B220" s="23">
        <f>SUM(E212,B214,B216,B218)</f>
        <v>700.3155551653437</v>
      </c>
      <c r="C220" s="23"/>
    </row>
    <row r="222" spans="1:6" ht="15.75">
      <c r="A222" s="8" t="s">
        <v>464</v>
      </c>
      <c r="B222" s="6" t="s">
        <v>457</v>
      </c>
      <c r="C222" s="24"/>
      <c r="D222" s="6"/>
      <c r="E222" s="25" t="s">
        <v>456</v>
      </c>
      <c r="F222" s="7"/>
    </row>
    <row r="223" spans="1:6" ht="12.75">
      <c r="A223" s="21"/>
      <c r="B223" s="4" t="s">
        <v>453</v>
      </c>
      <c r="C223" s="5" t="s">
        <v>213</v>
      </c>
      <c r="D223" s="9" t="s">
        <v>455</v>
      </c>
      <c r="E223" s="9" t="s">
        <v>454</v>
      </c>
      <c r="F223" s="5" t="s">
        <v>213</v>
      </c>
    </row>
    <row r="224" spans="2:6" ht="12.75">
      <c r="B224" s="33"/>
      <c r="C224" s="33"/>
      <c r="D224" s="31"/>
      <c r="E224" s="15"/>
      <c r="F224" s="15"/>
    </row>
    <row r="225" spans="1:6" ht="12.75">
      <c r="A225" s="32" t="s">
        <v>449</v>
      </c>
      <c r="B225" s="26"/>
      <c r="C225" s="26"/>
      <c r="D225" s="35">
        <f>SUM(Foglio2!L402:L403)</f>
        <v>37.16</v>
      </c>
      <c r="E225" s="22">
        <f>SUM(Foglio2!M402:M403)</f>
        <v>68.6</v>
      </c>
      <c r="F225" s="20"/>
    </row>
    <row r="226" spans="2:6" ht="12.75">
      <c r="B226" s="3"/>
      <c r="C226" s="3"/>
      <c r="D226" s="2"/>
      <c r="E226" s="3"/>
      <c r="F226" s="3"/>
    </row>
    <row r="227" spans="1:6" ht="12.75">
      <c r="A227" s="34" t="s">
        <v>450</v>
      </c>
      <c r="B227" s="22"/>
      <c r="C227" s="20"/>
      <c r="D227" s="2"/>
      <c r="E227" s="26"/>
      <c r="F227" s="3"/>
    </row>
    <row r="228" spans="2:6" ht="12.75">
      <c r="B228" s="3"/>
      <c r="C228" s="1"/>
      <c r="D228" s="3"/>
      <c r="E228" s="3"/>
      <c r="F228" s="3"/>
    </row>
    <row r="229" spans="1:6" ht="12.75">
      <c r="A229" s="27" t="s">
        <v>451</v>
      </c>
      <c r="B229" s="22"/>
      <c r="C229" s="30"/>
      <c r="D229" s="3"/>
      <c r="E229" s="26"/>
      <c r="F229" s="3"/>
    </row>
    <row r="230" spans="2:6" ht="12.75">
      <c r="B230" s="3"/>
      <c r="C230" s="1"/>
      <c r="D230" s="3"/>
      <c r="E230" s="3"/>
      <c r="F230" s="3"/>
    </row>
    <row r="231" spans="1:6" ht="12.75">
      <c r="A231" s="28" t="s">
        <v>452</v>
      </c>
      <c r="B231" s="22"/>
      <c r="C231" s="29"/>
      <c r="D231" s="20"/>
      <c r="E231" s="22"/>
      <c r="F231" s="20"/>
    </row>
    <row r="232" ht="12.75">
      <c r="E232" s="1"/>
    </row>
    <row r="233" spans="1:3" ht="12.75">
      <c r="A233" s="39" t="s">
        <v>489</v>
      </c>
      <c r="B233" s="23">
        <f>SUM(E225,B227,B229,B231)</f>
        <v>68.6</v>
      </c>
      <c r="C233" s="23"/>
    </row>
    <row r="236" spans="1:6" ht="15.75">
      <c r="A236" s="8" t="s">
        <v>465</v>
      </c>
      <c r="B236" s="6" t="s">
        <v>457</v>
      </c>
      <c r="C236" s="24"/>
      <c r="D236" s="6"/>
      <c r="E236" s="25" t="s">
        <v>456</v>
      </c>
      <c r="F236" s="7"/>
    </row>
    <row r="237" spans="1:6" ht="12.75">
      <c r="A237" s="21"/>
      <c r="B237" s="4" t="s">
        <v>453</v>
      </c>
      <c r="C237" s="5" t="s">
        <v>213</v>
      </c>
      <c r="D237" s="9" t="s">
        <v>455</v>
      </c>
      <c r="E237" s="9" t="s">
        <v>454</v>
      </c>
      <c r="F237" s="5" t="s">
        <v>213</v>
      </c>
    </row>
    <row r="238" spans="2:6" ht="12.75">
      <c r="B238" s="33"/>
      <c r="C238" s="33"/>
      <c r="D238" s="31"/>
      <c r="E238" s="15"/>
      <c r="F238" s="15"/>
    </row>
    <row r="239" spans="1:6" ht="12.75">
      <c r="A239" s="32" t="s">
        <v>449</v>
      </c>
      <c r="B239" s="26"/>
      <c r="C239" s="26"/>
      <c r="D239" s="35">
        <f>SUM(Foglio2!L407:L412)</f>
        <v>840.5852489580482</v>
      </c>
      <c r="E239" s="22">
        <f>SUM(Foglio2!M407:M412)</f>
        <v>1753.1289541231338</v>
      </c>
      <c r="F239" s="37">
        <v>0</v>
      </c>
    </row>
    <row r="240" spans="2:6" ht="12.75">
      <c r="B240" s="3"/>
      <c r="C240" s="3"/>
      <c r="D240" s="2"/>
      <c r="E240" s="3"/>
      <c r="F240" s="3"/>
    </row>
    <row r="241" spans="1:6" ht="12.75">
      <c r="A241" s="34" t="s">
        <v>450</v>
      </c>
      <c r="B241" s="22"/>
      <c r="C241" s="20"/>
      <c r="D241" s="2"/>
      <c r="E241" s="26"/>
      <c r="F241" s="3"/>
    </row>
    <row r="242" spans="2:6" ht="12.75">
      <c r="B242" s="3"/>
      <c r="C242" s="1"/>
      <c r="D242" s="3"/>
      <c r="E242" s="3"/>
      <c r="F242" s="3"/>
    </row>
    <row r="243" spans="1:6" ht="12.75">
      <c r="A243" s="27" t="s">
        <v>451</v>
      </c>
      <c r="B243" s="22"/>
      <c r="C243" s="30"/>
      <c r="D243" s="3"/>
      <c r="E243" s="26"/>
      <c r="F243" s="3"/>
    </row>
    <row r="244" spans="2:6" ht="12.75">
      <c r="B244" s="3"/>
      <c r="C244" s="1"/>
      <c r="D244" s="3"/>
      <c r="E244" s="3"/>
      <c r="F244" s="3"/>
    </row>
    <row r="245" spans="1:6" ht="12.75">
      <c r="A245" s="28" t="s">
        <v>452</v>
      </c>
      <c r="B245" s="22"/>
      <c r="C245" s="29"/>
      <c r="D245" s="20"/>
      <c r="E245" s="22"/>
      <c r="F245" s="20"/>
    </row>
    <row r="246" ht="12.75">
      <c r="E246" s="1"/>
    </row>
    <row r="247" spans="1:3" ht="12.75">
      <c r="A247" s="39" t="s">
        <v>489</v>
      </c>
      <c r="B247" s="23">
        <f>SUM(E239,B241,B243,B245)</f>
        <v>1753.1289541231338</v>
      </c>
      <c r="C247" s="23"/>
    </row>
    <row r="250" spans="1:6" ht="15.75">
      <c r="A250" s="8" t="s">
        <v>466</v>
      </c>
      <c r="B250" s="6" t="s">
        <v>457</v>
      </c>
      <c r="C250" s="24"/>
      <c r="D250" s="6"/>
      <c r="E250" s="25" t="s">
        <v>456</v>
      </c>
      <c r="F250" s="7"/>
    </row>
    <row r="251" spans="1:6" ht="12.75">
      <c r="A251" s="21"/>
      <c r="B251" s="4" t="s">
        <v>453</v>
      </c>
      <c r="C251" s="5" t="s">
        <v>213</v>
      </c>
      <c r="D251" s="9" t="s">
        <v>455</v>
      </c>
      <c r="E251" s="9" t="s">
        <v>454</v>
      </c>
      <c r="F251" s="5" t="s">
        <v>213</v>
      </c>
    </row>
    <row r="252" spans="2:6" ht="12.75">
      <c r="B252" s="33"/>
      <c r="C252" s="33"/>
      <c r="D252" s="31"/>
      <c r="E252" s="15"/>
      <c r="F252" s="15"/>
    </row>
    <row r="253" spans="1:6" ht="12.75">
      <c r="A253" s="32" t="s">
        <v>449</v>
      </c>
      <c r="B253" s="26"/>
      <c r="C253" s="26"/>
      <c r="D253" s="35">
        <f>SUM(Foglio2!L417:L418)</f>
        <v>0.8500000000000001</v>
      </c>
      <c r="E253" s="22">
        <f>SUM(Foglio2!M417:M418)</f>
        <v>1.1</v>
      </c>
      <c r="F253" s="37">
        <v>0</v>
      </c>
    </row>
    <row r="254" spans="2:6" ht="12.75">
      <c r="B254" s="3"/>
      <c r="C254" s="3"/>
      <c r="D254" s="2"/>
      <c r="E254" s="3"/>
      <c r="F254" s="3"/>
    </row>
    <row r="255" spans="1:6" ht="12.75">
      <c r="A255" s="34" t="s">
        <v>450</v>
      </c>
      <c r="B255" s="22"/>
      <c r="C255" s="20"/>
      <c r="D255" s="2"/>
      <c r="E255" s="26"/>
      <c r="F255" s="3"/>
    </row>
    <row r="256" spans="2:6" ht="12.75">
      <c r="B256" s="3"/>
      <c r="C256" s="1"/>
      <c r="D256" s="3"/>
      <c r="E256" s="3"/>
      <c r="F256" s="3"/>
    </row>
    <row r="257" spans="1:6" ht="12.75">
      <c r="A257" s="27" t="s">
        <v>451</v>
      </c>
      <c r="B257" s="22"/>
      <c r="C257" s="30"/>
      <c r="D257" s="3"/>
      <c r="E257" s="26"/>
      <c r="F257" s="3"/>
    </row>
    <row r="258" spans="2:6" ht="12.75">
      <c r="B258" s="3"/>
      <c r="C258" s="1"/>
      <c r="D258" s="3"/>
      <c r="E258" s="3"/>
      <c r="F258" s="3"/>
    </row>
    <row r="259" spans="1:6" ht="12.75">
      <c r="A259" s="28" t="s">
        <v>452</v>
      </c>
      <c r="B259" s="22">
        <f>SUM(Foglio2!M416)</f>
        <v>1362.68</v>
      </c>
      <c r="C259" s="29"/>
      <c r="D259" s="20"/>
      <c r="E259" s="22"/>
      <c r="F259" s="20"/>
    </row>
    <row r="260" ht="12.75">
      <c r="E260" s="1"/>
    </row>
    <row r="261" spans="1:3" ht="12.75">
      <c r="A261" s="39" t="s">
        <v>489</v>
      </c>
      <c r="B261" s="23">
        <f>SUM(E253,B255,B257,B259)</f>
        <v>1363.78</v>
      </c>
      <c r="C261" s="23"/>
    </row>
    <row r="262" ht="18">
      <c r="C262" s="36" t="s">
        <v>481</v>
      </c>
    </row>
    <row r="264" spans="1:6" ht="15.75">
      <c r="A264" s="8" t="s">
        <v>467</v>
      </c>
      <c r="B264" s="6" t="s">
        <v>457</v>
      </c>
      <c r="C264" s="24"/>
      <c r="D264" s="6"/>
      <c r="E264" s="25" t="s">
        <v>456</v>
      </c>
      <c r="F264" s="7"/>
    </row>
    <row r="265" spans="1:6" ht="12.75">
      <c r="A265" s="21"/>
      <c r="B265" s="4" t="s">
        <v>453</v>
      </c>
      <c r="C265" s="5" t="s">
        <v>213</v>
      </c>
      <c r="D265" s="9" t="s">
        <v>455</v>
      </c>
      <c r="E265" s="9" t="s">
        <v>454</v>
      </c>
      <c r="F265" s="5" t="s">
        <v>213</v>
      </c>
    </row>
    <row r="266" spans="2:6" ht="12.75">
      <c r="B266" s="33"/>
      <c r="C266" s="33"/>
      <c r="D266" s="31"/>
      <c r="E266" s="15"/>
      <c r="F266" s="15"/>
    </row>
    <row r="267" spans="1:6" ht="12.75">
      <c r="A267" s="32" t="s">
        <v>449</v>
      </c>
      <c r="B267" s="26"/>
      <c r="C267" s="26"/>
      <c r="D267" s="35" t="e">
        <f>SUM(D5,D19,D33,D47,D60,D74,D88,D102,D115,D129,D143,D157,D170,D184,D198,D212,D225,D239,D253)</f>
        <v>#REF!</v>
      </c>
      <c r="E267" s="22" t="e">
        <f>SUM(E5,E19,E33,E47,E60,E74,E88,E102,E115,E129,E143,E157,E170,E184,E198,E212,E225,E239,E253)</f>
        <v>#REF!</v>
      </c>
      <c r="F267" s="22">
        <f>SUM(F5,F19,F33,F47,F60,F74,F88,F102,F115,F129,F143,F157,F170,F184,F198,F212,F225,F239,F253)</f>
        <v>42085689</v>
      </c>
    </row>
    <row r="268" spans="2:6" ht="12.75">
      <c r="B268" s="3"/>
      <c r="C268" s="3"/>
      <c r="D268" s="2"/>
      <c r="E268" s="3"/>
      <c r="F268" s="3"/>
    </row>
    <row r="269" spans="1:6" ht="12.75">
      <c r="A269" s="34" t="s">
        <v>450</v>
      </c>
      <c r="B269" s="22" t="e">
        <f>SUM(B7,B21,B35,B49,B62,B76,B90,B104,B117,B131,B145,B159,B172,B186,B200,B214,B227,B241,B255)</f>
        <v>#REF!</v>
      </c>
      <c r="C269" s="22">
        <f>SUM(C7,C21,C35,C49,C62,C76,C90,C104,C117,C131,C145,C159,C172,C186,C200,C214,C227,C241,C255)</f>
        <v>3302568.937069727</v>
      </c>
      <c r="D269" s="2"/>
      <c r="E269" s="26"/>
      <c r="F269" s="3"/>
    </row>
    <row r="270" spans="2:6" ht="12.75">
      <c r="B270" s="3"/>
      <c r="C270" s="1"/>
      <c r="D270" s="3"/>
      <c r="E270" s="3"/>
      <c r="F270" s="3"/>
    </row>
    <row r="271" spans="1:6" ht="12.75">
      <c r="A271" s="27" t="s">
        <v>451</v>
      </c>
      <c r="B271" s="22" t="e">
        <f>SUM(B9,B23,B37,B51,B64,B78,B92,B106,B119,B133,B147,B161,B174,B188,B202,B216,B229,B243,B257)</f>
        <v>#REF!</v>
      </c>
      <c r="C271" s="30">
        <f>SUM(C9,C23,C37,C51,C64,C78,C92,C106,C119,C133,C147,C161,C174,C188,C202,C216,C229,C243,C257)</f>
        <v>21327818.56604709</v>
      </c>
      <c r="D271" s="3"/>
      <c r="E271" s="26"/>
      <c r="F271" s="3"/>
    </row>
    <row r="272" spans="2:6" ht="12.75">
      <c r="B272" s="3"/>
      <c r="C272" s="1"/>
      <c r="D272" s="3"/>
      <c r="E272" s="3"/>
      <c r="F272" s="3"/>
    </row>
    <row r="273" spans="1:6" ht="12.75">
      <c r="A273" s="28" t="s">
        <v>452</v>
      </c>
      <c r="B273" s="22" t="e">
        <f>SUM(B11,B25,B39,B53,B66,B80,B94,B108,B121,B135,B149,B163,B176,B190,B204,B218,B231,B245,B259)</f>
        <v>#REF!</v>
      </c>
      <c r="C273" s="29"/>
      <c r="D273" s="20"/>
      <c r="E273" s="22"/>
      <c r="F273" s="20"/>
    </row>
    <row r="274" ht="12.75">
      <c r="E274" s="1"/>
    </row>
    <row r="275" spans="1:3" ht="12.75">
      <c r="A275" s="39" t="s">
        <v>489</v>
      </c>
      <c r="B275" s="23" t="e">
        <f>SUM(E267,B269,B271,B273)</f>
        <v>#REF!</v>
      </c>
      <c r="C275" s="23"/>
    </row>
  </sheetData>
  <sheetProtection/>
  <printOptions/>
  <pageMargins left="0.3937007874015748" right="0.1968503937007874" top="0.7874015748031497" bottom="0.7874015748031497" header="0.31496062992125984" footer="0.31496062992125984"/>
  <pageSetup horizontalDpi="300" verticalDpi="300" orientation="portrait" paperSize="9" r:id="rId1"/>
  <headerFooter alignWithMargins="0">
    <oddHeader>&amp;CAzienda 
Unità Sanitaria Locale BR/1- BRINDISI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9"/>
  <sheetViews>
    <sheetView tabSelected="1" zoomScale="65" zoomScaleNormal="65" zoomScalePageLayoutView="0" workbookViewId="0" topLeftCell="A295">
      <selection activeCell="O330" sqref="O330"/>
    </sheetView>
  </sheetViews>
  <sheetFormatPr defaultColWidth="9.140625" defaultRowHeight="12.75"/>
  <cols>
    <col min="1" max="1" width="9.57421875" style="157" customWidth="1"/>
    <col min="2" max="2" width="12.28125" style="0" customWidth="1"/>
    <col min="3" max="3" width="23.57421875" style="0" customWidth="1"/>
    <col min="4" max="4" width="34.8515625" style="0" customWidth="1"/>
    <col min="5" max="5" width="10.140625" style="0" customWidth="1"/>
    <col min="6" max="6" width="6.421875" style="0" customWidth="1"/>
    <col min="7" max="7" width="10.57421875" style="0" customWidth="1"/>
    <col min="8" max="8" width="4.28125" style="0" customWidth="1"/>
    <col min="9" max="9" width="10.140625" style="0" customWidth="1"/>
    <col min="10" max="10" width="7.00390625" style="0" customWidth="1"/>
    <col min="11" max="11" width="7.57421875" style="0" customWidth="1"/>
    <col min="12" max="12" width="13.00390625" style="0" customWidth="1"/>
    <col min="13" max="13" width="15.421875" style="41" customWidth="1"/>
    <col min="14" max="14" width="20.00390625" style="41" customWidth="1"/>
    <col min="15" max="15" width="17.7109375" style="40" customWidth="1"/>
  </cols>
  <sheetData>
    <row r="1" ht="12.75">
      <c r="A1" s="156" t="s">
        <v>506</v>
      </c>
    </row>
    <row r="2" spans="1:36" ht="12.75">
      <c r="A2" s="160" t="s">
        <v>1</v>
      </c>
      <c r="B2" s="90" t="s">
        <v>479</v>
      </c>
      <c r="C2" s="90" t="s">
        <v>478</v>
      </c>
      <c r="D2" s="90" t="s">
        <v>477</v>
      </c>
      <c r="E2" s="90" t="s">
        <v>2</v>
      </c>
      <c r="F2" s="90" t="s">
        <v>3</v>
      </c>
      <c r="G2" s="91" t="s">
        <v>480</v>
      </c>
      <c r="H2" s="90" t="s">
        <v>4</v>
      </c>
      <c r="I2" s="92" t="s">
        <v>5</v>
      </c>
      <c r="J2" s="92" t="s">
        <v>6</v>
      </c>
      <c r="K2" s="92" t="s">
        <v>7</v>
      </c>
      <c r="L2" s="92" t="s">
        <v>455</v>
      </c>
      <c r="M2" s="93" t="s">
        <v>468</v>
      </c>
      <c r="N2" s="94" t="s">
        <v>508</v>
      </c>
      <c r="O2" s="65" t="s">
        <v>507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>
      <c r="A3" s="166"/>
      <c r="B3" s="95"/>
      <c r="C3" s="95"/>
      <c r="D3" s="95"/>
      <c r="E3" s="96"/>
      <c r="F3" s="95"/>
      <c r="G3" s="97"/>
      <c r="H3" s="95"/>
      <c r="I3" s="96"/>
      <c r="J3" s="96"/>
      <c r="K3" s="96"/>
      <c r="L3" s="95" t="s">
        <v>509</v>
      </c>
      <c r="M3" s="98" t="s">
        <v>509</v>
      </c>
      <c r="N3" s="99" t="s">
        <v>509</v>
      </c>
      <c r="O3" s="66" t="s">
        <v>513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8" customHeight="1">
      <c r="A4" s="224" t="s">
        <v>8</v>
      </c>
      <c r="B4" s="118" t="s">
        <v>9</v>
      </c>
      <c r="C4" s="119" t="s">
        <v>10</v>
      </c>
      <c r="D4" s="119" t="s">
        <v>11</v>
      </c>
      <c r="E4" s="119">
        <v>781</v>
      </c>
      <c r="F4" s="120">
        <v>54</v>
      </c>
      <c r="G4" s="121" t="s">
        <v>514</v>
      </c>
      <c r="H4" s="120">
        <v>2</v>
      </c>
      <c r="I4" s="122" t="s">
        <v>12</v>
      </c>
      <c r="J4" s="123">
        <v>3</v>
      </c>
      <c r="K4" s="120">
        <v>53</v>
      </c>
      <c r="L4" s="124"/>
      <c r="M4" s="125">
        <f>397500/1936.27</f>
        <v>205.29161738807088</v>
      </c>
      <c r="N4" s="126">
        <f>41737500/1936.27</f>
        <v>21555.619825747443</v>
      </c>
      <c r="O4" s="127">
        <f>194000000/1936.27*1.0797</f>
        <v>108177.99170570221</v>
      </c>
      <c r="P4" s="1"/>
      <c r="Q4" s="1"/>
      <c r="R4" s="52"/>
      <c r="S4" s="5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8" customHeight="1">
      <c r="A5" s="225" t="s">
        <v>8</v>
      </c>
      <c r="B5" s="107" t="s">
        <v>9</v>
      </c>
      <c r="C5" s="107" t="s">
        <v>13</v>
      </c>
      <c r="D5" s="107" t="s">
        <v>14</v>
      </c>
      <c r="E5" s="107">
        <v>781</v>
      </c>
      <c r="F5" s="107">
        <v>190</v>
      </c>
      <c r="G5" s="107">
        <v>721</v>
      </c>
      <c r="H5" s="107">
        <v>1</v>
      </c>
      <c r="I5" s="107" t="s">
        <v>15</v>
      </c>
      <c r="J5" s="109">
        <v>6</v>
      </c>
      <c r="K5" s="107">
        <v>38</v>
      </c>
      <c r="L5" s="110"/>
      <c r="M5" s="111">
        <f>1181800/1936.27</f>
        <v>610.3487633439552</v>
      </c>
      <c r="N5" s="112">
        <f>42190260/1936.27</f>
        <v>21789.4508513792</v>
      </c>
      <c r="O5" s="127"/>
      <c r="P5" s="1"/>
      <c r="Q5" s="1"/>
      <c r="R5" s="52"/>
      <c r="S5" s="5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" customHeight="1">
      <c r="A6" s="226" t="s">
        <v>8</v>
      </c>
      <c r="B6" s="80" t="s">
        <v>9</v>
      </c>
      <c r="C6" s="80" t="s">
        <v>13</v>
      </c>
      <c r="D6" s="80" t="s">
        <v>14</v>
      </c>
      <c r="E6" s="80">
        <v>781</v>
      </c>
      <c r="F6" s="80">
        <v>190</v>
      </c>
      <c r="G6" s="80">
        <v>721</v>
      </c>
      <c r="H6" s="80">
        <v>2</v>
      </c>
      <c r="I6" s="80" t="s">
        <v>15</v>
      </c>
      <c r="J6" s="81">
        <v>5</v>
      </c>
      <c r="K6" s="80">
        <v>98</v>
      </c>
      <c r="L6" s="113"/>
      <c r="M6" s="114">
        <f>2616600/1936.27</f>
        <v>1351.3611221575504</v>
      </c>
      <c r="N6" s="84">
        <f>93412620/1936.27</f>
        <v>48243.592061024545</v>
      </c>
      <c r="O6" s="115">
        <f>459000000/1936.27*1.0797</f>
        <v>255946.89790163565</v>
      </c>
      <c r="P6" s="1"/>
      <c r="Q6" s="1"/>
      <c r="R6" s="52"/>
      <c r="S6" s="5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" customHeight="1">
      <c r="A7" s="225" t="s">
        <v>8</v>
      </c>
      <c r="B7" s="107" t="s">
        <v>16</v>
      </c>
      <c r="C7" s="128" t="s">
        <v>17</v>
      </c>
      <c r="D7" s="107" t="s">
        <v>18</v>
      </c>
      <c r="E7" s="107">
        <v>783</v>
      </c>
      <c r="F7" s="107">
        <v>193</v>
      </c>
      <c r="G7" s="108" t="s">
        <v>515</v>
      </c>
      <c r="H7" s="107"/>
      <c r="I7" s="107" t="s">
        <v>19</v>
      </c>
      <c r="J7" s="109"/>
      <c r="K7" s="107"/>
      <c r="L7" s="110"/>
      <c r="M7" s="111">
        <f>2142500/1936.27</f>
        <v>1106.508906299225</v>
      </c>
      <c r="N7" s="112">
        <f>76487250/1936.27</f>
        <v>39502.36795488233</v>
      </c>
      <c r="O7" s="127"/>
      <c r="P7" s="1"/>
      <c r="Q7" s="1"/>
      <c r="R7" s="5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" customHeight="1">
      <c r="A8" s="226" t="s">
        <v>20</v>
      </c>
      <c r="B8" s="80" t="s">
        <v>16</v>
      </c>
      <c r="C8" s="129" t="s">
        <v>17</v>
      </c>
      <c r="D8" s="80" t="s">
        <v>18</v>
      </c>
      <c r="E8" s="80">
        <v>132503</v>
      </c>
      <c r="F8" s="80">
        <v>193</v>
      </c>
      <c r="G8" s="80">
        <v>260</v>
      </c>
      <c r="H8" s="80"/>
      <c r="I8" s="80" t="s">
        <v>21</v>
      </c>
      <c r="J8" s="81"/>
      <c r="K8" s="130">
        <v>770</v>
      </c>
      <c r="L8" s="148">
        <v>0</v>
      </c>
      <c r="M8" s="148">
        <v>0</v>
      </c>
      <c r="N8" s="84">
        <v>0</v>
      </c>
      <c r="O8" s="115">
        <f>200000000/1936.27*1.0797</f>
        <v>111523.70278938372</v>
      </c>
      <c r="P8" s="10"/>
      <c r="Q8" s="1"/>
      <c r="R8" s="5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11" customFormat="1" ht="18" customHeight="1">
      <c r="A9" s="227" t="s">
        <v>8</v>
      </c>
      <c r="B9" s="71" t="s">
        <v>510</v>
      </c>
      <c r="C9" s="71" t="s">
        <v>499</v>
      </c>
      <c r="D9" s="71" t="s">
        <v>517</v>
      </c>
      <c r="E9" s="71">
        <v>1026570</v>
      </c>
      <c r="F9" s="71">
        <v>54</v>
      </c>
      <c r="G9" s="71">
        <v>2567</v>
      </c>
      <c r="H9" s="71"/>
      <c r="I9" s="72" t="s">
        <v>22</v>
      </c>
      <c r="J9" s="72" t="s">
        <v>23</v>
      </c>
      <c r="K9" s="73">
        <v>15930</v>
      </c>
      <c r="L9" s="131"/>
      <c r="M9" s="74">
        <v>12340.81</v>
      </c>
      <c r="N9" s="75">
        <f>PRODUCT(M9*100)+(M9*100*5%)</f>
        <v>1295785.05</v>
      </c>
      <c r="O9" s="132">
        <f>PRODUCT(N9*5)</f>
        <v>6478925.25</v>
      </c>
      <c r="P9" s="1"/>
      <c r="Q9" s="1"/>
      <c r="R9" s="5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8" customHeight="1">
      <c r="A10" s="227" t="s">
        <v>8</v>
      </c>
      <c r="B10" s="71" t="s">
        <v>510</v>
      </c>
      <c r="C10" s="71" t="s">
        <v>497</v>
      </c>
      <c r="D10" s="71" t="s">
        <v>487</v>
      </c>
      <c r="E10" s="71"/>
      <c r="F10" s="71">
        <v>190</v>
      </c>
      <c r="G10" s="71">
        <v>563</v>
      </c>
      <c r="H10" s="71">
        <v>3</v>
      </c>
      <c r="I10" s="72" t="s">
        <v>22</v>
      </c>
      <c r="J10" s="72" t="s">
        <v>23</v>
      </c>
      <c r="K10" s="73">
        <v>7000</v>
      </c>
      <c r="L10" s="131"/>
      <c r="M10" s="74">
        <v>5422.83</v>
      </c>
      <c r="N10" s="75">
        <f>PRODUCT(M10*100)+(M10*100*5%)</f>
        <v>569397.15</v>
      </c>
      <c r="O10" s="117">
        <f>2375000000/1936.27*1.0797</f>
        <v>1324343.9706239316</v>
      </c>
      <c r="P10" s="1"/>
      <c r="Q10" s="17"/>
      <c r="R10" s="17"/>
      <c r="S10" s="17"/>
      <c r="T10" s="1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8" customHeight="1">
      <c r="A11" s="227" t="s">
        <v>8</v>
      </c>
      <c r="B11" s="71" t="s">
        <v>510</v>
      </c>
      <c r="C11" s="71" t="s">
        <v>597</v>
      </c>
      <c r="D11" s="71" t="s">
        <v>488</v>
      </c>
      <c r="E11" s="71">
        <v>1028989</v>
      </c>
      <c r="F11" s="71">
        <v>31</v>
      </c>
      <c r="G11" s="71">
        <v>231</v>
      </c>
      <c r="H11" s="71"/>
      <c r="I11" s="72" t="s">
        <v>22</v>
      </c>
      <c r="J11" s="72" t="s">
        <v>23</v>
      </c>
      <c r="K11" s="73">
        <v>16011</v>
      </c>
      <c r="L11" s="131"/>
      <c r="M11" s="74">
        <v>12403.49</v>
      </c>
      <c r="N11" s="75">
        <f>PRODUCT(M11*100)+(M11*100*5%)</f>
        <v>1302366.45</v>
      </c>
      <c r="O11" s="132">
        <f>PRODUCT(N11*5)</f>
        <v>6511832.25</v>
      </c>
      <c r="P11" s="1"/>
      <c r="Q11" s="17"/>
      <c r="R11" s="233"/>
      <c r="S11" s="17"/>
      <c r="T11" s="1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8" customHeight="1">
      <c r="A12" s="227" t="s">
        <v>8</v>
      </c>
      <c r="B12" s="71" t="s">
        <v>510</v>
      </c>
      <c r="C12" s="71" t="s">
        <v>500</v>
      </c>
      <c r="D12" s="71" t="s">
        <v>27</v>
      </c>
      <c r="E12" s="71">
        <v>1028989</v>
      </c>
      <c r="F12" s="71">
        <v>190</v>
      </c>
      <c r="G12" s="71">
        <v>2823</v>
      </c>
      <c r="H12" s="71"/>
      <c r="I12" s="71" t="s">
        <v>26</v>
      </c>
      <c r="J12" s="72">
        <v>2</v>
      </c>
      <c r="K12" s="73">
        <v>2381</v>
      </c>
      <c r="L12" s="131"/>
      <c r="M12" s="74">
        <f>4285800/1936.27</f>
        <v>2213.430978117721</v>
      </c>
      <c r="N12" s="75">
        <f>450009000/1936.27</f>
        <v>232410.25270236074</v>
      </c>
      <c r="O12" s="133">
        <f>450009000/1936.27*5</f>
        <v>1162051.2635118037</v>
      </c>
      <c r="P12" s="1"/>
      <c r="Q12" s="17"/>
      <c r="R12" s="17"/>
      <c r="S12" s="17"/>
      <c r="T12" s="1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8" customHeight="1">
      <c r="A13" s="225" t="s">
        <v>8</v>
      </c>
      <c r="B13" s="107" t="s">
        <v>510</v>
      </c>
      <c r="C13" s="107" t="s">
        <v>28</v>
      </c>
      <c r="D13" s="107" t="s">
        <v>29</v>
      </c>
      <c r="E13" s="107">
        <v>12670</v>
      </c>
      <c r="F13" s="107">
        <v>76</v>
      </c>
      <c r="G13" s="107">
        <v>591</v>
      </c>
      <c r="H13" s="107">
        <v>1</v>
      </c>
      <c r="I13" s="107" t="s">
        <v>30</v>
      </c>
      <c r="J13" s="109"/>
      <c r="K13" s="140">
        <v>17010</v>
      </c>
      <c r="L13" s="141"/>
      <c r="M13" s="142">
        <f>25515000/1936.27</f>
        <v>13177.397780268248</v>
      </c>
      <c r="N13" s="112">
        <f>2679075000/1936.27</f>
        <v>1383626.766928166</v>
      </c>
      <c r="O13" s="199">
        <f>2679075000/1936.27*5</f>
        <v>6918133.83464083</v>
      </c>
      <c r="P13" s="1"/>
      <c r="Q13" s="17"/>
      <c r="R13" s="17"/>
      <c r="S13" s="17"/>
      <c r="T13" s="1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8" customHeight="1">
      <c r="A14" s="226" t="s">
        <v>8</v>
      </c>
      <c r="B14" s="80" t="s">
        <v>510</v>
      </c>
      <c r="C14" s="80" t="s">
        <v>28</v>
      </c>
      <c r="D14" s="80" t="s">
        <v>31</v>
      </c>
      <c r="E14" s="80">
        <v>12670</v>
      </c>
      <c r="F14" s="80">
        <v>76</v>
      </c>
      <c r="G14" s="80">
        <v>591</v>
      </c>
      <c r="H14" s="80">
        <v>2</v>
      </c>
      <c r="I14" s="80" t="s">
        <v>32</v>
      </c>
      <c r="J14" s="81"/>
      <c r="K14" s="80"/>
      <c r="L14" s="113"/>
      <c r="M14" s="114">
        <f>510000/1936.27</f>
        <v>263.39301853563813</v>
      </c>
      <c r="N14" s="84">
        <f>26775000/1936.27</f>
        <v>13828.133473121</v>
      </c>
      <c r="O14" s="149">
        <f>26775000/1936.27*5</f>
        <v>69140.66736560501</v>
      </c>
      <c r="P14" s="1"/>
      <c r="Q14" s="17"/>
      <c r="R14" s="17"/>
      <c r="S14" s="17"/>
      <c r="T14" s="1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8" customHeight="1">
      <c r="A15" s="225" t="s">
        <v>8</v>
      </c>
      <c r="B15" s="107" t="s">
        <v>510</v>
      </c>
      <c r="C15" s="107" t="s">
        <v>498</v>
      </c>
      <c r="D15" s="107" t="s">
        <v>33</v>
      </c>
      <c r="E15" s="107">
        <v>5505</v>
      </c>
      <c r="F15" s="107">
        <v>190</v>
      </c>
      <c r="G15" s="107">
        <v>2812</v>
      </c>
      <c r="H15" s="107">
        <v>1</v>
      </c>
      <c r="I15" s="107" t="s">
        <v>34</v>
      </c>
      <c r="J15" s="109" t="s">
        <v>23</v>
      </c>
      <c r="K15" s="140">
        <v>4628</v>
      </c>
      <c r="L15" s="141"/>
      <c r="M15" s="142">
        <f>6942000/1936.27</f>
        <v>3585.243793479215</v>
      </c>
      <c r="N15" s="112">
        <f>728910000/1936.27</f>
        <v>376450.5983153176</v>
      </c>
      <c r="O15" s="199">
        <f>728910000/1936.27*5</f>
        <v>1882252.991576588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8" customHeight="1">
      <c r="A16" s="228" t="s">
        <v>8</v>
      </c>
      <c r="B16" s="56" t="s">
        <v>510</v>
      </c>
      <c r="C16" s="56" t="s">
        <v>498</v>
      </c>
      <c r="D16" s="56" t="s">
        <v>35</v>
      </c>
      <c r="E16" s="56">
        <v>5505</v>
      </c>
      <c r="F16" s="56">
        <v>190</v>
      </c>
      <c r="G16" s="56">
        <v>2812</v>
      </c>
      <c r="H16" s="56">
        <v>2</v>
      </c>
      <c r="I16" s="56" t="s">
        <v>36</v>
      </c>
      <c r="J16" s="57">
        <v>3</v>
      </c>
      <c r="K16" s="56">
        <v>5.5</v>
      </c>
      <c r="L16" s="218"/>
      <c r="M16" s="183">
        <f>1017500/1936.27</f>
        <v>525.4948948235525</v>
      </c>
      <c r="N16" s="60">
        <f>106837500/1936.27</f>
        <v>55176.96395647301</v>
      </c>
      <c r="O16" s="206">
        <f>106837500/1936.27*5</f>
        <v>275884.81978236506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8" customHeight="1">
      <c r="A17" s="226" t="s">
        <v>8</v>
      </c>
      <c r="B17" s="80" t="s">
        <v>510</v>
      </c>
      <c r="C17" s="80" t="s">
        <v>498</v>
      </c>
      <c r="D17" s="80" t="s">
        <v>35</v>
      </c>
      <c r="E17" s="80">
        <v>5505</v>
      </c>
      <c r="F17" s="80">
        <v>190</v>
      </c>
      <c r="G17" s="80">
        <v>2812</v>
      </c>
      <c r="H17" s="80">
        <v>3</v>
      </c>
      <c r="I17" s="80" t="s">
        <v>36</v>
      </c>
      <c r="J17" s="81">
        <v>3</v>
      </c>
      <c r="K17" s="80">
        <v>5.5</v>
      </c>
      <c r="L17" s="138"/>
      <c r="M17" s="139">
        <f>1017500/1936.27</f>
        <v>525.4948948235525</v>
      </c>
      <c r="N17" s="84">
        <f>106837500/1936.27</f>
        <v>55176.96395647301</v>
      </c>
      <c r="O17" s="149">
        <f>106837500/1936.27*5</f>
        <v>275884.81978236506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8" customHeight="1">
      <c r="A18" s="225" t="s">
        <v>8</v>
      </c>
      <c r="B18" s="107" t="s">
        <v>71</v>
      </c>
      <c r="C18" s="107" t="s">
        <v>596</v>
      </c>
      <c r="D18" s="107" t="s">
        <v>37</v>
      </c>
      <c r="E18" s="107">
        <v>6590</v>
      </c>
      <c r="F18" s="107">
        <v>190</v>
      </c>
      <c r="G18" s="107">
        <v>3650</v>
      </c>
      <c r="H18" s="107">
        <v>1</v>
      </c>
      <c r="I18" s="107" t="s">
        <v>38</v>
      </c>
      <c r="J18" s="109">
        <v>2</v>
      </c>
      <c r="K18" s="107">
        <v>4.5</v>
      </c>
      <c r="L18" s="135"/>
      <c r="M18" s="136">
        <f>517500/1936.27</f>
        <v>267.2664452788093</v>
      </c>
      <c r="N18" s="112">
        <f>54337500/1936.27</f>
        <v>28062.976754274972</v>
      </c>
      <c r="O18" s="18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8" customHeight="1">
      <c r="A19" s="228" t="s">
        <v>8</v>
      </c>
      <c r="B19" s="56" t="s">
        <v>71</v>
      </c>
      <c r="C19" s="56" t="s">
        <v>596</v>
      </c>
      <c r="D19" s="56" t="s">
        <v>39</v>
      </c>
      <c r="E19" s="56">
        <v>6590</v>
      </c>
      <c r="F19" s="56">
        <v>190</v>
      </c>
      <c r="G19" s="56">
        <v>3650</v>
      </c>
      <c r="H19" s="56">
        <v>2</v>
      </c>
      <c r="I19" s="56" t="s">
        <v>34</v>
      </c>
      <c r="J19" s="57" t="s">
        <v>23</v>
      </c>
      <c r="K19" s="58">
        <v>24394</v>
      </c>
      <c r="L19" s="137"/>
      <c r="M19" s="59">
        <f>36591000/1936.27</f>
        <v>18897.6743945834</v>
      </c>
      <c r="N19" s="60">
        <f>3842055000/1936.27</f>
        <v>1984255.811431257</v>
      </c>
      <c r="O19" s="18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8" customHeight="1">
      <c r="A20" s="226" t="s">
        <v>8</v>
      </c>
      <c r="B20" s="80" t="s">
        <v>71</v>
      </c>
      <c r="C20" s="80" t="s">
        <v>596</v>
      </c>
      <c r="D20" s="80" t="s">
        <v>40</v>
      </c>
      <c r="E20" s="80">
        <v>6590</v>
      </c>
      <c r="F20" s="80">
        <v>190</v>
      </c>
      <c r="G20" s="80">
        <v>3650</v>
      </c>
      <c r="H20" s="80">
        <v>3</v>
      </c>
      <c r="I20" s="80" t="s">
        <v>41</v>
      </c>
      <c r="J20" s="81">
        <v>5</v>
      </c>
      <c r="K20" s="80">
        <v>10</v>
      </c>
      <c r="L20" s="138"/>
      <c r="M20" s="139">
        <f>3050000/1936.27</f>
        <v>1575.1935422229337</v>
      </c>
      <c r="N20" s="84">
        <f>320250000/1936.27</f>
        <v>165395.32193340803</v>
      </c>
      <c r="O20" s="189">
        <f>3000000000/1936.27*1.0797</f>
        <v>1672855.5418407558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15" s="1" customFormat="1" ht="18" customHeight="1">
      <c r="A21" s="225" t="s">
        <v>8</v>
      </c>
      <c r="B21" s="107" t="s">
        <v>510</v>
      </c>
      <c r="C21" s="107" t="s">
        <v>516</v>
      </c>
      <c r="D21" s="107" t="s">
        <v>511</v>
      </c>
      <c r="E21" s="108">
        <v>1026491</v>
      </c>
      <c r="F21" s="107">
        <v>75</v>
      </c>
      <c r="G21" s="107">
        <v>1057</v>
      </c>
      <c r="H21" s="107"/>
      <c r="I21" s="109" t="s">
        <v>22</v>
      </c>
      <c r="J21" s="109" t="s">
        <v>23</v>
      </c>
      <c r="K21" s="140">
        <v>1554</v>
      </c>
      <c r="L21" s="141"/>
      <c r="M21" s="142">
        <v>1203.87</v>
      </c>
      <c r="N21" s="112">
        <f>PRODUCT(M21*100)+(M21*100*5%)</f>
        <v>126406.34999999999</v>
      </c>
      <c r="O21" s="179"/>
    </row>
    <row r="22" spans="1:15" s="1" customFormat="1" ht="18" customHeight="1">
      <c r="A22" s="229" t="s">
        <v>8</v>
      </c>
      <c r="B22" s="80" t="s">
        <v>20</v>
      </c>
      <c r="C22" s="80" t="s">
        <v>516</v>
      </c>
      <c r="D22" s="80" t="s">
        <v>518</v>
      </c>
      <c r="E22" s="143"/>
      <c r="F22" s="80">
        <v>75</v>
      </c>
      <c r="G22" s="80">
        <v>1056</v>
      </c>
      <c r="H22" s="80"/>
      <c r="I22" s="81" t="s">
        <v>131</v>
      </c>
      <c r="J22" s="81">
        <v>2</v>
      </c>
      <c r="K22" s="130" t="s">
        <v>519</v>
      </c>
      <c r="L22" s="83">
        <v>39.78</v>
      </c>
      <c r="M22" s="83">
        <v>101.94</v>
      </c>
      <c r="N22" s="84">
        <f>PRODUCT(M22*75)+(M22*75*25%)</f>
        <v>9556.875</v>
      </c>
      <c r="O22" s="70">
        <f>PRODUCT(N21+N22)*5</f>
        <v>679816.1249999999</v>
      </c>
    </row>
    <row r="23" spans="1:36" s="12" customFormat="1" ht="18" customHeight="1">
      <c r="A23" s="225" t="s">
        <v>8</v>
      </c>
      <c r="B23" s="107" t="s">
        <v>510</v>
      </c>
      <c r="C23" s="107" t="s">
        <v>482</v>
      </c>
      <c r="D23" s="107" t="s">
        <v>483</v>
      </c>
      <c r="E23" s="107">
        <v>2236</v>
      </c>
      <c r="F23" s="107">
        <v>51</v>
      </c>
      <c r="G23" s="107" t="s">
        <v>42</v>
      </c>
      <c r="H23" s="107"/>
      <c r="I23" s="144" t="s">
        <v>512</v>
      </c>
      <c r="J23" s="109">
        <v>2</v>
      </c>
      <c r="K23" s="140">
        <v>53190</v>
      </c>
      <c r="L23" s="141"/>
      <c r="M23" s="142">
        <f>47871000/1936.27</f>
        <v>24723.30821631281</v>
      </c>
      <c r="N23" s="112">
        <f>5026455000/1936.27</f>
        <v>2595947.3627128447</v>
      </c>
      <c r="O23" s="17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12" customFormat="1" ht="18" customHeight="1">
      <c r="A24" s="228" t="s">
        <v>20</v>
      </c>
      <c r="B24" s="56" t="s">
        <v>510</v>
      </c>
      <c r="C24" s="56" t="s">
        <v>482</v>
      </c>
      <c r="D24" s="56" t="s">
        <v>484</v>
      </c>
      <c r="E24" s="56">
        <v>1</v>
      </c>
      <c r="F24" s="56">
        <v>51</v>
      </c>
      <c r="G24" s="56">
        <v>32</v>
      </c>
      <c r="H24" s="56"/>
      <c r="I24" s="145" t="s">
        <v>208</v>
      </c>
      <c r="J24" s="57"/>
      <c r="K24" s="58" t="s">
        <v>485</v>
      </c>
      <c r="L24" s="146">
        <v>0</v>
      </c>
      <c r="M24" s="62">
        <v>0</v>
      </c>
      <c r="N24" s="60">
        <v>0</v>
      </c>
      <c r="O24" s="15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12" customFormat="1" ht="18" customHeight="1">
      <c r="A25" s="226" t="s">
        <v>20</v>
      </c>
      <c r="B25" s="80" t="s">
        <v>510</v>
      </c>
      <c r="C25" s="80" t="s">
        <v>482</v>
      </c>
      <c r="D25" s="80" t="s">
        <v>484</v>
      </c>
      <c r="E25" s="80">
        <v>1</v>
      </c>
      <c r="F25" s="80">
        <v>51</v>
      </c>
      <c r="G25" s="80">
        <v>885</v>
      </c>
      <c r="H25" s="80"/>
      <c r="I25" s="147" t="s">
        <v>208</v>
      </c>
      <c r="J25" s="81"/>
      <c r="K25" s="130" t="s">
        <v>486</v>
      </c>
      <c r="L25" s="148">
        <v>0</v>
      </c>
      <c r="M25" s="83">
        <v>0</v>
      </c>
      <c r="N25" s="84">
        <v>0</v>
      </c>
      <c r="O25" s="152">
        <f>5026455000/1936.27*5</f>
        <v>12979736.813564224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13" customFormat="1" ht="18" customHeight="1">
      <c r="A26" s="225" t="s">
        <v>43</v>
      </c>
      <c r="B26" s="107" t="s">
        <v>20</v>
      </c>
      <c r="C26" s="107" t="s">
        <v>44</v>
      </c>
      <c r="D26" s="107" t="s">
        <v>45</v>
      </c>
      <c r="E26" s="107">
        <v>150293</v>
      </c>
      <c r="F26" s="107">
        <v>170</v>
      </c>
      <c r="G26" s="107">
        <v>9</v>
      </c>
      <c r="H26" s="107"/>
      <c r="I26" s="107" t="s">
        <v>46</v>
      </c>
      <c r="J26" s="109">
        <v>4</v>
      </c>
      <c r="K26" s="107" t="s">
        <v>47</v>
      </c>
      <c r="L26" s="150">
        <v>51.59</v>
      </c>
      <c r="M26" s="150">
        <v>56.75</v>
      </c>
      <c r="N26" s="112">
        <f>PRODUCT(M26*75)+(M26*75*25%)</f>
        <v>5320.3125</v>
      </c>
      <c r="O26" s="12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13" customFormat="1" ht="18" customHeight="1">
      <c r="A27" s="228" t="s">
        <v>43</v>
      </c>
      <c r="B27" s="56" t="s">
        <v>20</v>
      </c>
      <c r="C27" s="56" t="s">
        <v>44</v>
      </c>
      <c r="D27" s="56" t="s">
        <v>45</v>
      </c>
      <c r="E27" s="56">
        <v>150293</v>
      </c>
      <c r="F27" s="56">
        <v>170</v>
      </c>
      <c r="G27" s="56">
        <v>108</v>
      </c>
      <c r="H27" s="56"/>
      <c r="I27" s="56" t="s">
        <v>46</v>
      </c>
      <c r="J27" s="57">
        <v>4</v>
      </c>
      <c r="K27" s="56" t="s">
        <v>48</v>
      </c>
      <c r="L27" s="62">
        <v>69.24</v>
      </c>
      <c r="M27" s="62">
        <v>76.16</v>
      </c>
      <c r="N27" s="60">
        <f>PRODUCT(M27*75)+(M27*75*25%)</f>
        <v>7140</v>
      </c>
      <c r="O27" s="15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13" customFormat="1" ht="17.25" customHeight="1">
      <c r="A28" s="228" t="s">
        <v>43</v>
      </c>
      <c r="B28" s="56" t="s">
        <v>20</v>
      </c>
      <c r="C28" s="56" t="s">
        <v>44</v>
      </c>
      <c r="D28" s="56" t="s">
        <v>45</v>
      </c>
      <c r="E28" s="56">
        <v>150293</v>
      </c>
      <c r="F28" s="56">
        <v>170</v>
      </c>
      <c r="G28" s="56">
        <v>109</v>
      </c>
      <c r="H28" s="56"/>
      <c r="I28" s="56" t="s">
        <v>46</v>
      </c>
      <c r="J28" s="57">
        <v>4</v>
      </c>
      <c r="K28" s="56" t="s">
        <v>49</v>
      </c>
      <c r="L28" s="62">
        <v>26.98</v>
      </c>
      <c r="M28" s="62">
        <v>29.68</v>
      </c>
      <c r="N28" s="60">
        <f>PRODUCT(M28*75)+(M28*75*25%)</f>
        <v>2782.5</v>
      </c>
      <c r="O28" s="15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13" customFormat="1" ht="18" customHeight="1">
      <c r="A29" s="228" t="s">
        <v>43</v>
      </c>
      <c r="B29" s="56" t="s">
        <v>20</v>
      </c>
      <c r="C29" s="56" t="s">
        <v>44</v>
      </c>
      <c r="D29" s="56" t="s">
        <v>45</v>
      </c>
      <c r="E29" s="56">
        <v>150293</v>
      </c>
      <c r="F29" s="56">
        <v>170</v>
      </c>
      <c r="G29" s="56">
        <v>110</v>
      </c>
      <c r="H29" s="56"/>
      <c r="I29" s="56" t="s">
        <v>46</v>
      </c>
      <c r="J29" s="57">
        <v>4</v>
      </c>
      <c r="K29" s="56" t="s">
        <v>50</v>
      </c>
      <c r="L29" s="62">
        <v>64.87</v>
      </c>
      <c r="M29" s="62">
        <v>71.35</v>
      </c>
      <c r="N29" s="60">
        <f>PRODUCT(M29*75)+(M29*75*25%)</f>
        <v>6689.0625</v>
      </c>
      <c r="O29" s="15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13" customFormat="1" ht="18" customHeight="1">
      <c r="A30" s="226" t="s">
        <v>43</v>
      </c>
      <c r="B30" s="80" t="s">
        <v>20</v>
      </c>
      <c r="C30" s="80" t="s">
        <v>44</v>
      </c>
      <c r="D30" s="80" t="s">
        <v>45</v>
      </c>
      <c r="E30" s="80">
        <v>150293</v>
      </c>
      <c r="F30" s="80">
        <v>170</v>
      </c>
      <c r="G30" s="80">
        <v>111</v>
      </c>
      <c r="H30" s="80"/>
      <c r="I30" s="80" t="s">
        <v>46</v>
      </c>
      <c r="J30" s="81">
        <v>4</v>
      </c>
      <c r="K30" s="80" t="s">
        <v>51</v>
      </c>
      <c r="L30" s="83">
        <v>28.51</v>
      </c>
      <c r="M30" s="83">
        <v>31.36</v>
      </c>
      <c r="N30" s="84">
        <f>PRODUCT(M30*75)+(M30*75*25%)</f>
        <v>2940</v>
      </c>
      <c r="O30" s="115">
        <f>140000000/1936.27*1.0797</f>
        <v>78066.5919525686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15" s="1" customFormat="1" ht="18" customHeight="1">
      <c r="A31" s="17"/>
      <c r="J31" s="45"/>
      <c r="L31" s="46"/>
      <c r="M31" s="43"/>
      <c r="N31" s="43"/>
      <c r="O31" s="44"/>
    </row>
    <row r="32" spans="1:15" s="1" customFormat="1" ht="18" customHeight="1">
      <c r="A32" s="17"/>
      <c r="J32" s="45"/>
      <c r="L32" s="46"/>
      <c r="M32" s="43"/>
      <c r="N32" s="43"/>
      <c r="O32" s="44"/>
    </row>
    <row r="33" spans="1:15" s="1" customFormat="1" ht="18" customHeight="1">
      <c r="A33" s="17"/>
      <c r="J33" s="45"/>
      <c r="L33" s="46"/>
      <c r="M33" s="43"/>
      <c r="N33" s="43"/>
      <c r="O33" s="44"/>
    </row>
    <row r="34" spans="1:15" s="1" customFormat="1" ht="18" customHeight="1">
      <c r="A34" s="17"/>
      <c r="J34" s="45"/>
      <c r="L34" s="46"/>
      <c r="M34" s="43"/>
      <c r="N34" s="43"/>
      <c r="O34" s="44"/>
    </row>
    <row r="35" spans="1:15" s="1" customFormat="1" ht="18" customHeight="1">
      <c r="A35" s="17"/>
      <c r="J35" s="45"/>
      <c r="L35" s="46"/>
      <c r="M35" s="43"/>
      <c r="N35" s="43"/>
      <c r="O35" s="44"/>
    </row>
    <row r="36" spans="1:15" s="1" customFormat="1" ht="18" customHeight="1">
      <c r="A36" s="17"/>
      <c r="J36" s="45"/>
      <c r="L36" s="46"/>
      <c r="M36" s="43"/>
      <c r="N36" s="43"/>
      <c r="O36" s="44"/>
    </row>
    <row r="37" spans="1:15" s="1" customFormat="1" ht="18" customHeight="1">
      <c r="A37" s="17"/>
      <c r="J37" s="45"/>
      <c r="L37" s="46"/>
      <c r="M37" s="43"/>
      <c r="N37" s="43"/>
      <c r="O37" s="44"/>
    </row>
    <row r="38" spans="1:15" s="1" customFormat="1" ht="18" customHeight="1">
      <c r="A38" s="17"/>
      <c r="J38" s="45"/>
      <c r="L38" s="46"/>
      <c r="M38" s="43"/>
      <c r="N38" s="43"/>
      <c r="O38" s="44"/>
    </row>
    <row r="39" spans="1:15" s="1" customFormat="1" ht="18" customHeight="1">
      <c r="A39" s="17"/>
      <c r="J39" s="45"/>
      <c r="L39" s="46"/>
      <c r="M39" s="43"/>
      <c r="N39" s="43"/>
      <c r="O39" s="44"/>
    </row>
    <row r="40" spans="1:15" s="1" customFormat="1" ht="18" customHeight="1">
      <c r="A40" s="17"/>
      <c r="J40" s="45"/>
      <c r="L40" s="46"/>
      <c r="M40" s="43"/>
      <c r="N40" s="43"/>
      <c r="O40" s="44"/>
    </row>
    <row r="41" spans="1:15" s="1" customFormat="1" ht="18" customHeight="1">
      <c r="A41" s="17"/>
      <c r="J41" s="45"/>
      <c r="L41" s="46"/>
      <c r="M41" s="43"/>
      <c r="N41" s="43"/>
      <c r="O41" s="44"/>
    </row>
    <row r="42" ht="12.75">
      <c r="A42" s="156" t="s">
        <v>520</v>
      </c>
    </row>
    <row r="43" spans="1:36" ht="12.75">
      <c r="A43" s="160" t="s">
        <v>1</v>
      </c>
      <c r="B43" s="90" t="s">
        <v>479</v>
      </c>
      <c r="C43" s="90" t="s">
        <v>478</v>
      </c>
      <c r="D43" s="90" t="s">
        <v>477</v>
      </c>
      <c r="E43" s="90" t="s">
        <v>2</v>
      </c>
      <c r="F43" s="90" t="s">
        <v>3</v>
      </c>
      <c r="G43" s="91" t="s">
        <v>480</v>
      </c>
      <c r="H43" s="90" t="s">
        <v>4</v>
      </c>
      <c r="I43" s="92" t="s">
        <v>5</v>
      </c>
      <c r="J43" s="92" t="s">
        <v>6</v>
      </c>
      <c r="K43" s="92" t="s">
        <v>7</v>
      </c>
      <c r="L43" s="92" t="s">
        <v>455</v>
      </c>
      <c r="M43" s="93" t="s">
        <v>468</v>
      </c>
      <c r="N43" s="94" t="s">
        <v>508</v>
      </c>
      <c r="O43" s="65" t="s">
        <v>507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166"/>
      <c r="B44" s="95"/>
      <c r="C44" s="95"/>
      <c r="D44" s="95"/>
      <c r="E44" s="96"/>
      <c r="F44" s="95"/>
      <c r="G44" s="97"/>
      <c r="H44" s="95"/>
      <c r="I44" s="96"/>
      <c r="J44" s="96"/>
      <c r="K44" s="96"/>
      <c r="L44" s="95" t="s">
        <v>509</v>
      </c>
      <c r="M44" s="98" t="s">
        <v>509</v>
      </c>
      <c r="N44" s="99" t="s">
        <v>509</v>
      </c>
      <c r="O44" s="66" t="s">
        <v>513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13" customFormat="1" ht="18" customHeight="1">
      <c r="A45" s="225" t="s">
        <v>8</v>
      </c>
      <c r="B45" s="107" t="s">
        <v>510</v>
      </c>
      <c r="C45" s="107" t="s">
        <v>529</v>
      </c>
      <c r="D45" s="107" t="s">
        <v>522</v>
      </c>
      <c r="E45" s="107">
        <v>1006703</v>
      </c>
      <c r="F45" s="107">
        <v>39</v>
      </c>
      <c r="G45" s="107">
        <v>845</v>
      </c>
      <c r="H45" s="107">
        <v>1</v>
      </c>
      <c r="I45" s="109" t="s">
        <v>22</v>
      </c>
      <c r="J45" s="109" t="s">
        <v>23</v>
      </c>
      <c r="K45" s="140">
        <v>17652</v>
      </c>
      <c r="L45" s="142"/>
      <c r="M45" s="142">
        <v>13674.83</v>
      </c>
      <c r="N45" s="112">
        <f>PRODUCT(M45*100)+(M45*100*5%)</f>
        <v>1435857.15</v>
      </c>
      <c r="O45" s="199">
        <f>PRODUCT(N45*5)</f>
        <v>7179285.75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13" customFormat="1" ht="18" customHeight="1">
      <c r="A46" s="228" t="s">
        <v>8</v>
      </c>
      <c r="B46" s="56" t="s">
        <v>510</v>
      </c>
      <c r="C46" s="56" t="s">
        <v>529</v>
      </c>
      <c r="D46" s="56" t="s">
        <v>523</v>
      </c>
      <c r="E46" s="56">
        <v>1006703</v>
      </c>
      <c r="F46" s="56">
        <v>39</v>
      </c>
      <c r="G46" s="56">
        <v>845</v>
      </c>
      <c r="H46" s="56">
        <v>2</v>
      </c>
      <c r="I46" s="57" t="s">
        <v>53</v>
      </c>
      <c r="J46" s="57" t="s">
        <v>23</v>
      </c>
      <c r="K46" s="58">
        <v>2031</v>
      </c>
      <c r="L46" s="59"/>
      <c r="M46" s="59">
        <v>1048.93</v>
      </c>
      <c r="N46" s="60">
        <f>PRODUCT(M46*100)+(M46*100*5%)</f>
        <v>110137.65</v>
      </c>
      <c r="O46" s="206">
        <f>PRODUCT(N46*5)</f>
        <v>550688.25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13" customFormat="1" ht="18" customHeight="1">
      <c r="A47" s="226" t="s">
        <v>8</v>
      </c>
      <c r="B47" s="80" t="s">
        <v>510</v>
      </c>
      <c r="C47" s="80" t="s">
        <v>529</v>
      </c>
      <c r="D47" s="80" t="s">
        <v>524</v>
      </c>
      <c r="E47" s="80">
        <v>1006703</v>
      </c>
      <c r="F47" s="80">
        <v>39</v>
      </c>
      <c r="G47" s="80">
        <v>845</v>
      </c>
      <c r="H47" s="80">
        <v>3</v>
      </c>
      <c r="I47" s="81" t="s">
        <v>54</v>
      </c>
      <c r="J47" s="81">
        <v>4</v>
      </c>
      <c r="K47" s="130">
        <v>5</v>
      </c>
      <c r="L47" s="139"/>
      <c r="M47" s="139">
        <v>348.61</v>
      </c>
      <c r="N47" s="84">
        <f>PRODUCT(M47*100)+(M47*100*5%)</f>
        <v>36604.05</v>
      </c>
      <c r="O47" s="149">
        <f>PRODUCT(N47*3)</f>
        <v>109812.15000000001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14" customFormat="1" ht="18" customHeight="1">
      <c r="A48" s="230" t="s">
        <v>25</v>
      </c>
      <c r="B48" s="67" t="s">
        <v>510</v>
      </c>
      <c r="C48" s="67" t="s">
        <v>529</v>
      </c>
      <c r="D48" s="67" t="s">
        <v>527</v>
      </c>
      <c r="E48" s="67">
        <v>41081</v>
      </c>
      <c r="F48" s="67">
        <v>39</v>
      </c>
      <c r="G48" s="67">
        <v>127</v>
      </c>
      <c r="H48" s="67"/>
      <c r="I48" s="67" t="s">
        <v>55</v>
      </c>
      <c r="J48" s="68">
        <v>2</v>
      </c>
      <c r="K48" s="77" t="s">
        <v>56</v>
      </c>
      <c r="L48" s="78">
        <v>18.39</v>
      </c>
      <c r="M48" s="78">
        <v>28.19</v>
      </c>
      <c r="N48" s="69">
        <f aca="true" t="shared" si="0" ref="N48:N58">PRODUCT(M48*75)+(M48*75*25%)</f>
        <v>2642.8125</v>
      </c>
      <c r="O48" s="5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15" s="1" customFormat="1" ht="18" customHeight="1">
      <c r="A49" s="228" t="s">
        <v>25</v>
      </c>
      <c r="B49" s="56" t="s">
        <v>510</v>
      </c>
      <c r="C49" s="56" t="s">
        <v>529</v>
      </c>
      <c r="D49" s="56" t="s">
        <v>527</v>
      </c>
      <c r="E49" s="56">
        <v>41081</v>
      </c>
      <c r="F49" s="56">
        <v>39</v>
      </c>
      <c r="G49" s="56">
        <v>484</v>
      </c>
      <c r="H49" s="56"/>
      <c r="I49" s="56" t="s">
        <v>57</v>
      </c>
      <c r="J49" s="57">
        <v>2</v>
      </c>
      <c r="K49" s="61" t="s">
        <v>58</v>
      </c>
      <c r="L49" s="62">
        <v>3.37</v>
      </c>
      <c r="M49" s="62">
        <v>4.33</v>
      </c>
      <c r="N49" s="60">
        <f t="shared" si="0"/>
        <v>405.9375</v>
      </c>
      <c r="O49" s="54"/>
    </row>
    <row r="50" spans="1:36" s="12" customFormat="1" ht="18" customHeight="1">
      <c r="A50" s="228" t="s">
        <v>25</v>
      </c>
      <c r="B50" s="56" t="s">
        <v>510</v>
      </c>
      <c r="C50" s="56" t="s">
        <v>529</v>
      </c>
      <c r="D50" s="56" t="s">
        <v>527</v>
      </c>
      <c r="E50" s="56">
        <v>41081</v>
      </c>
      <c r="F50" s="56">
        <v>39</v>
      </c>
      <c r="G50" s="56">
        <v>485</v>
      </c>
      <c r="H50" s="56"/>
      <c r="I50" s="56" t="s">
        <v>57</v>
      </c>
      <c r="J50" s="57">
        <v>2</v>
      </c>
      <c r="K50" s="61" t="s">
        <v>59</v>
      </c>
      <c r="L50" s="62">
        <v>3.25</v>
      </c>
      <c r="M50" s="62">
        <v>4.18</v>
      </c>
      <c r="N50" s="60">
        <f t="shared" si="0"/>
        <v>391.875</v>
      </c>
      <c r="O50" s="5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12" customFormat="1" ht="18" customHeight="1">
      <c r="A51" s="228" t="s">
        <v>25</v>
      </c>
      <c r="B51" s="56" t="s">
        <v>510</v>
      </c>
      <c r="C51" s="56" t="s">
        <v>529</v>
      </c>
      <c r="D51" s="56" t="s">
        <v>527</v>
      </c>
      <c r="E51" s="56">
        <v>41081</v>
      </c>
      <c r="F51" s="56">
        <v>39</v>
      </c>
      <c r="G51" s="56">
        <v>810</v>
      </c>
      <c r="H51" s="56"/>
      <c r="I51" s="56" t="s">
        <v>57</v>
      </c>
      <c r="J51" s="57">
        <v>3</v>
      </c>
      <c r="K51" s="61" t="s">
        <v>469</v>
      </c>
      <c r="L51" s="62">
        <v>0.08</v>
      </c>
      <c r="M51" s="62">
        <v>0.08</v>
      </c>
      <c r="N51" s="60">
        <f t="shared" si="0"/>
        <v>7.5</v>
      </c>
      <c r="O51" s="5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12" customFormat="1" ht="18" customHeight="1">
      <c r="A52" s="226" t="s">
        <v>25</v>
      </c>
      <c r="B52" s="80" t="s">
        <v>510</v>
      </c>
      <c r="C52" s="80" t="s">
        <v>529</v>
      </c>
      <c r="D52" s="80" t="s">
        <v>527</v>
      </c>
      <c r="E52" s="80">
        <v>41081</v>
      </c>
      <c r="F52" s="80">
        <v>39</v>
      </c>
      <c r="G52" s="80">
        <v>844</v>
      </c>
      <c r="H52" s="80"/>
      <c r="I52" s="80" t="s">
        <v>57</v>
      </c>
      <c r="J52" s="81">
        <v>3</v>
      </c>
      <c r="K52" s="82" t="s">
        <v>60</v>
      </c>
      <c r="L52" s="83">
        <v>9.43</v>
      </c>
      <c r="M52" s="83">
        <v>9.43</v>
      </c>
      <c r="N52" s="84">
        <f t="shared" si="0"/>
        <v>884.0625</v>
      </c>
      <c r="O52" s="51">
        <f>956000000/1936.27*1.0797</f>
        <v>533083.2993332542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13" customFormat="1" ht="18" customHeight="1">
      <c r="A53" s="227" t="s">
        <v>25</v>
      </c>
      <c r="B53" s="71" t="s">
        <v>20</v>
      </c>
      <c r="C53" s="71" t="s">
        <v>61</v>
      </c>
      <c r="D53" s="71" t="s">
        <v>62</v>
      </c>
      <c r="E53" s="71">
        <v>41081</v>
      </c>
      <c r="F53" s="71">
        <v>4</v>
      </c>
      <c r="G53" s="71">
        <v>16</v>
      </c>
      <c r="H53" s="71"/>
      <c r="I53" s="71" t="s">
        <v>63</v>
      </c>
      <c r="J53" s="72">
        <v>2</v>
      </c>
      <c r="K53" s="87" t="s">
        <v>64</v>
      </c>
      <c r="L53" s="88">
        <v>0.83</v>
      </c>
      <c r="M53" s="88">
        <v>2.58</v>
      </c>
      <c r="N53" s="75">
        <f t="shared" si="0"/>
        <v>241.875</v>
      </c>
      <c r="O53" s="89">
        <f>475000000/1936.27*1.0797</f>
        <v>264868.79412478633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13" customFormat="1" ht="18" customHeight="1">
      <c r="A54" s="230" t="s">
        <v>8</v>
      </c>
      <c r="B54" s="85" t="s">
        <v>530</v>
      </c>
      <c r="C54" s="85" t="s">
        <v>526</v>
      </c>
      <c r="D54" s="67" t="s">
        <v>521</v>
      </c>
      <c r="E54" s="67">
        <v>1006667</v>
      </c>
      <c r="F54" s="67">
        <v>27</v>
      </c>
      <c r="G54" s="67">
        <v>526</v>
      </c>
      <c r="H54" s="67"/>
      <c r="I54" s="68" t="s">
        <v>65</v>
      </c>
      <c r="J54" s="68" t="s">
        <v>23</v>
      </c>
      <c r="K54" s="86">
        <v>4.5</v>
      </c>
      <c r="L54" s="76"/>
      <c r="M54" s="76">
        <v>476.43</v>
      </c>
      <c r="N54" s="69">
        <f>PRODUCT(M54*100)+(M54*100*5%)</f>
        <v>50025.15</v>
      </c>
      <c r="O54" s="5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13" customFormat="1" ht="18" customHeight="1">
      <c r="A55" s="228" t="s">
        <v>25</v>
      </c>
      <c r="B55" s="56" t="s">
        <v>20</v>
      </c>
      <c r="C55" s="56" t="s">
        <v>529</v>
      </c>
      <c r="D55" s="56" t="s">
        <v>528</v>
      </c>
      <c r="E55" s="56">
        <v>41081</v>
      </c>
      <c r="F55" s="56">
        <v>27</v>
      </c>
      <c r="G55" s="63">
        <v>523</v>
      </c>
      <c r="H55" s="56"/>
      <c r="I55" s="56" t="s">
        <v>66</v>
      </c>
      <c r="J55" s="57">
        <v>1</v>
      </c>
      <c r="K55" s="61" t="s">
        <v>67</v>
      </c>
      <c r="L55" s="64">
        <v>141.8</v>
      </c>
      <c r="M55" s="64">
        <v>340.33</v>
      </c>
      <c r="N55" s="60">
        <f t="shared" si="0"/>
        <v>31905.9375</v>
      </c>
      <c r="O55" s="5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13" customFormat="1" ht="18" customHeight="1">
      <c r="A56" s="228" t="s">
        <v>25</v>
      </c>
      <c r="B56" s="56" t="s">
        <v>20</v>
      </c>
      <c r="C56" s="56" t="s">
        <v>529</v>
      </c>
      <c r="D56" s="56" t="s">
        <v>528</v>
      </c>
      <c r="E56" s="56">
        <v>41081</v>
      </c>
      <c r="F56" s="56">
        <v>27</v>
      </c>
      <c r="G56" s="63">
        <v>525</v>
      </c>
      <c r="H56" s="56"/>
      <c r="I56" s="56" t="s">
        <v>57</v>
      </c>
      <c r="J56" s="57">
        <v>1</v>
      </c>
      <c r="K56" s="61" t="s">
        <v>68</v>
      </c>
      <c r="L56" s="62">
        <v>4.26</v>
      </c>
      <c r="M56" s="62">
        <v>7.68</v>
      </c>
      <c r="N56" s="60">
        <f t="shared" si="0"/>
        <v>720</v>
      </c>
      <c r="O56" s="5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13" customFormat="1" ht="18" customHeight="1">
      <c r="A57" s="228" t="s">
        <v>25</v>
      </c>
      <c r="B57" s="56" t="s">
        <v>20</v>
      </c>
      <c r="C57" s="56" t="s">
        <v>529</v>
      </c>
      <c r="D57" s="56" t="s">
        <v>528</v>
      </c>
      <c r="E57" s="56">
        <v>41081</v>
      </c>
      <c r="F57" s="56">
        <v>27</v>
      </c>
      <c r="G57" s="63">
        <v>527</v>
      </c>
      <c r="H57" s="56"/>
      <c r="I57" s="56" t="s">
        <v>57</v>
      </c>
      <c r="J57" s="57">
        <v>1</v>
      </c>
      <c r="K57" s="61" t="s">
        <v>69</v>
      </c>
      <c r="L57" s="62">
        <v>3.96</v>
      </c>
      <c r="M57" s="62">
        <v>7.13</v>
      </c>
      <c r="N57" s="60">
        <f t="shared" si="0"/>
        <v>668.4375</v>
      </c>
      <c r="O57" s="5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13" customFormat="1" ht="18" customHeight="1">
      <c r="A58" s="226" t="s">
        <v>25</v>
      </c>
      <c r="B58" s="80" t="s">
        <v>20</v>
      </c>
      <c r="C58" s="80" t="s">
        <v>529</v>
      </c>
      <c r="D58" s="80" t="s">
        <v>528</v>
      </c>
      <c r="E58" s="80">
        <v>41081</v>
      </c>
      <c r="F58" s="80">
        <v>27</v>
      </c>
      <c r="G58" s="80">
        <v>52</v>
      </c>
      <c r="H58" s="80"/>
      <c r="I58" s="80" t="s">
        <v>57</v>
      </c>
      <c r="J58" s="81">
        <v>1</v>
      </c>
      <c r="K58" s="82" t="s">
        <v>70</v>
      </c>
      <c r="L58" s="83">
        <v>1.7</v>
      </c>
      <c r="M58" s="83">
        <v>3.07</v>
      </c>
      <c r="N58" s="84">
        <f t="shared" si="0"/>
        <v>287.8125</v>
      </c>
      <c r="O58" s="51">
        <f>420000000/1936.27*1.0797</f>
        <v>234199.77585770583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15" ht="12.75">
      <c r="A59" s="156" t="s">
        <v>525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8"/>
      <c r="N59" s="158"/>
      <c r="O59" s="159"/>
    </row>
    <row r="60" spans="1:36" ht="12.75">
      <c r="A60" s="160" t="s">
        <v>1</v>
      </c>
      <c r="B60" s="161" t="s">
        <v>479</v>
      </c>
      <c r="C60" s="161" t="s">
        <v>478</v>
      </c>
      <c r="D60" s="161" t="s">
        <v>477</v>
      </c>
      <c r="E60" s="161" t="s">
        <v>2</v>
      </c>
      <c r="F60" s="161" t="s">
        <v>3</v>
      </c>
      <c r="G60" s="162" t="s">
        <v>480</v>
      </c>
      <c r="H60" s="161" t="s">
        <v>4</v>
      </c>
      <c r="I60" s="160" t="s">
        <v>5</v>
      </c>
      <c r="J60" s="160" t="s">
        <v>6</v>
      </c>
      <c r="K60" s="160" t="s">
        <v>7</v>
      </c>
      <c r="L60" s="160" t="s">
        <v>455</v>
      </c>
      <c r="M60" s="163" t="s">
        <v>468</v>
      </c>
      <c r="N60" s="164" t="s">
        <v>508</v>
      </c>
      <c r="O60" s="165" t="s">
        <v>507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>
      <c r="A61" s="166"/>
      <c r="B61" s="167"/>
      <c r="C61" s="167"/>
      <c r="D61" s="167"/>
      <c r="E61" s="166"/>
      <c r="F61" s="167"/>
      <c r="G61" s="168"/>
      <c r="H61" s="167"/>
      <c r="I61" s="166"/>
      <c r="J61" s="166"/>
      <c r="K61" s="166"/>
      <c r="L61" s="167" t="s">
        <v>509</v>
      </c>
      <c r="M61" s="169" t="s">
        <v>509</v>
      </c>
      <c r="N61" s="170" t="s">
        <v>509</v>
      </c>
      <c r="O61" s="171" t="s">
        <v>513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13" customFormat="1" ht="18" customHeight="1">
      <c r="A62" s="225" t="s">
        <v>8</v>
      </c>
      <c r="B62" s="154" t="s">
        <v>71</v>
      </c>
      <c r="C62" s="154" t="s">
        <v>72</v>
      </c>
      <c r="D62" s="154" t="s">
        <v>73</v>
      </c>
      <c r="E62" s="154">
        <v>3001</v>
      </c>
      <c r="F62" s="154">
        <v>135</v>
      </c>
      <c r="G62" s="154">
        <v>1119</v>
      </c>
      <c r="H62" s="154">
        <v>4</v>
      </c>
      <c r="I62" s="155" t="s">
        <v>74</v>
      </c>
      <c r="J62" s="155">
        <v>2</v>
      </c>
      <c r="K62" s="154">
        <v>16</v>
      </c>
      <c r="L62" s="136"/>
      <c r="M62" s="136">
        <f>51200/1936.27</f>
        <v>26.442593233381707</v>
      </c>
      <c r="N62" s="112">
        <f>5376000/1936.27</f>
        <v>2776.4722895050795</v>
      </c>
      <c r="O62" s="17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13" customFormat="1" ht="18" customHeight="1">
      <c r="A63" s="226" t="s">
        <v>8</v>
      </c>
      <c r="B63" s="105" t="s">
        <v>71</v>
      </c>
      <c r="C63" s="105" t="s">
        <v>75</v>
      </c>
      <c r="D63" s="105" t="s">
        <v>76</v>
      </c>
      <c r="E63" s="105">
        <v>3001</v>
      </c>
      <c r="F63" s="105">
        <v>135</v>
      </c>
      <c r="G63" s="105">
        <v>1119</v>
      </c>
      <c r="H63" s="105">
        <v>5</v>
      </c>
      <c r="I63" s="106" t="s">
        <v>77</v>
      </c>
      <c r="J63" s="106">
        <v>2</v>
      </c>
      <c r="K63" s="105">
        <v>1</v>
      </c>
      <c r="L63" s="139"/>
      <c r="M63" s="139">
        <f>73000/1936.27</f>
        <v>37.70135363353251</v>
      </c>
      <c r="N63" s="84">
        <f>7665000/1936.27</f>
        <v>3958.642131520914</v>
      </c>
      <c r="O63" s="173">
        <f>16000000/1936.27*1.0797</f>
        <v>8921.896223150698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13" customFormat="1" ht="18" customHeight="1">
      <c r="A64" s="227" t="s">
        <v>8</v>
      </c>
      <c r="B64" s="79" t="s">
        <v>510</v>
      </c>
      <c r="C64" s="100" t="s">
        <v>78</v>
      </c>
      <c r="D64" s="100" t="s">
        <v>490</v>
      </c>
      <c r="E64" s="100"/>
      <c r="F64" s="100">
        <v>135</v>
      </c>
      <c r="G64" s="174">
        <v>1768</v>
      </c>
      <c r="H64" s="100">
        <v>4</v>
      </c>
      <c r="I64" s="101" t="s">
        <v>79</v>
      </c>
      <c r="J64" s="101" t="s">
        <v>23</v>
      </c>
      <c r="K64" s="100">
        <v>33927</v>
      </c>
      <c r="L64" s="74"/>
      <c r="M64" s="74">
        <v>26282.75</v>
      </c>
      <c r="N64" s="75">
        <f>PRODUCT(M64*100)+(M64*100*5%)</f>
        <v>2759688.75</v>
      </c>
      <c r="O64" s="53">
        <f>PRODUCT(N64*5)</f>
        <v>13798443.75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13" customFormat="1" ht="18" customHeight="1">
      <c r="A65" s="227" t="s">
        <v>8</v>
      </c>
      <c r="B65" s="100" t="s">
        <v>71</v>
      </c>
      <c r="C65" s="100" t="s">
        <v>80</v>
      </c>
      <c r="D65" s="100" t="s">
        <v>81</v>
      </c>
      <c r="E65" s="100">
        <v>3001</v>
      </c>
      <c r="F65" s="100">
        <v>135</v>
      </c>
      <c r="G65" s="100">
        <v>2800</v>
      </c>
      <c r="H65" s="100">
        <v>1</v>
      </c>
      <c r="I65" s="101" t="s">
        <v>77</v>
      </c>
      <c r="J65" s="101">
        <v>1</v>
      </c>
      <c r="K65" s="100">
        <v>1.5</v>
      </c>
      <c r="L65" s="134"/>
      <c r="M65" s="134">
        <f>93000/1936.27</f>
        <v>48.03049161532224</v>
      </c>
      <c r="N65" s="75">
        <f>PRODUCT(M65*100)+(M65*100*5%)</f>
        <v>5043.201619608835</v>
      </c>
      <c r="O65" s="133">
        <f>11000000/1936.27*1.0797</f>
        <v>6133.803653416105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13" customFormat="1" ht="18" customHeight="1">
      <c r="A66" s="227" t="s">
        <v>8</v>
      </c>
      <c r="B66" s="100" t="s">
        <v>82</v>
      </c>
      <c r="C66" s="100" t="s">
        <v>83</v>
      </c>
      <c r="D66" s="100" t="s">
        <v>84</v>
      </c>
      <c r="E66" s="100">
        <v>3001</v>
      </c>
      <c r="F66" s="100">
        <v>135</v>
      </c>
      <c r="G66" s="100">
        <v>2800</v>
      </c>
      <c r="H66" s="100">
        <v>2</v>
      </c>
      <c r="I66" s="101" t="s">
        <v>74</v>
      </c>
      <c r="J66" s="101">
        <v>3</v>
      </c>
      <c r="K66" s="100">
        <v>24</v>
      </c>
      <c r="L66" s="134"/>
      <c r="M66" s="134">
        <f>91200/1936.27</f>
        <v>47.10086919696117</v>
      </c>
      <c r="N66" s="75">
        <f>PRODUCT(M66*100)+(M66*100*5%)</f>
        <v>4945.591265680922</v>
      </c>
      <c r="O66" s="133">
        <f>17000000/1936.27*1.0797</f>
        <v>9479.514737097617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13" customFormat="1" ht="18" customHeight="1">
      <c r="A67" s="227" t="s">
        <v>8</v>
      </c>
      <c r="B67" s="100" t="s">
        <v>71</v>
      </c>
      <c r="C67" s="100" t="s">
        <v>85</v>
      </c>
      <c r="D67" s="100" t="s">
        <v>86</v>
      </c>
      <c r="E67" s="100">
        <v>3729</v>
      </c>
      <c r="F67" s="100">
        <v>135</v>
      </c>
      <c r="G67" s="100">
        <v>2358</v>
      </c>
      <c r="H67" s="100">
        <v>1</v>
      </c>
      <c r="I67" s="101" t="s">
        <v>87</v>
      </c>
      <c r="J67" s="101">
        <v>3</v>
      </c>
      <c r="K67" s="100">
        <v>7.5</v>
      </c>
      <c r="L67" s="134"/>
      <c r="M67" s="134">
        <f>1125000/1936.27</f>
        <v>581.0140114756723</v>
      </c>
      <c r="N67" s="75">
        <f>PRODUCT(M67*100)+(M67*100*5%)</f>
        <v>61006.47120494559</v>
      </c>
      <c r="O67" s="133">
        <f>176500000/1936.27*1.0797</f>
        <v>98419.66771163115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13" customFormat="1" ht="18" customHeight="1">
      <c r="A68" s="227" t="s">
        <v>8</v>
      </c>
      <c r="B68" s="100" t="s">
        <v>82</v>
      </c>
      <c r="C68" s="100" t="s">
        <v>88</v>
      </c>
      <c r="D68" s="100" t="s">
        <v>89</v>
      </c>
      <c r="E68" s="100">
        <v>3729</v>
      </c>
      <c r="F68" s="100">
        <v>135</v>
      </c>
      <c r="G68" s="100">
        <v>2358</v>
      </c>
      <c r="H68" s="100">
        <v>2</v>
      </c>
      <c r="I68" s="101" t="s">
        <v>90</v>
      </c>
      <c r="J68" s="101">
        <v>5</v>
      </c>
      <c r="K68" s="100">
        <v>39</v>
      </c>
      <c r="L68" s="116"/>
      <c r="M68" s="116">
        <f>1400100/1936.27</f>
        <v>723.09130441519</v>
      </c>
      <c r="N68" s="75">
        <f>49983570/1936.27</f>
        <v>25814.359567622283</v>
      </c>
      <c r="O68" s="133">
        <f>82000000/1936.27*1.0797</f>
        <v>45724.718143647326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13" customFormat="1" ht="18" customHeight="1">
      <c r="A69" s="227" t="s">
        <v>8</v>
      </c>
      <c r="B69" s="100" t="s">
        <v>82</v>
      </c>
      <c r="C69" s="100" t="s">
        <v>91</v>
      </c>
      <c r="D69" s="100" t="s">
        <v>92</v>
      </c>
      <c r="E69" s="100">
        <v>3729</v>
      </c>
      <c r="F69" s="100">
        <v>135</v>
      </c>
      <c r="G69" s="100">
        <v>2358</v>
      </c>
      <c r="H69" s="100">
        <v>16</v>
      </c>
      <c r="I69" s="101" t="s">
        <v>90</v>
      </c>
      <c r="J69" s="101">
        <v>5</v>
      </c>
      <c r="K69" s="100">
        <v>7</v>
      </c>
      <c r="L69" s="116"/>
      <c r="M69" s="116">
        <f>251300/1936.27</f>
        <v>129.78561874118796</v>
      </c>
      <c r="N69" s="75">
        <f>8971410/1936.27</f>
        <v>4633.34658906041</v>
      </c>
      <c r="O69" s="133">
        <f>11000000/1936.27*1.0797</f>
        <v>6133.803653416105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13" customFormat="1" ht="18" customHeight="1">
      <c r="A70" s="227" t="s">
        <v>8</v>
      </c>
      <c r="B70" s="100" t="s">
        <v>82</v>
      </c>
      <c r="C70" s="100" t="s">
        <v>93</v>
      </c>
      <c r="D70" s="100" t="s">
        <v>94</v>
      </c>
      <c r="E70" s="100">
        <v>3729</v>
      </c>
      <c r="F70" s="100">
        <v>135</v>
      </c>
      <c r="G70" s="100">
        <v>2358</v>
      </c>
      <c r="H70" s="100">
        <v>17</v>
      </c>
      <c r="I70" s="101" t="s">
        <v>90</v>
      </c>
      <c r="J70" s="101">
        <v>6</v>
      </c>
      <c r="K70" s="100">
        <v>14</v>
      </c>
      <c r="L70" s="116"/>
      <c r="M70" s="116">
        <f>585200/1936.27</f>
        <v>302.23057734716747</v>
      </c>
      <c r="N70" s="75">
        <f>20891640/1936.27</f>
        <v>10789.63161129388</v>
      </c>
      <c r="O70" s="133">
        <f>30000000/1936.27*1.0797</f>
        <v>16728.55541840756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13" customFormat="1" ht="18" customHeight="1">
      <c r="A71" s="227" t="s">
        <v>8</v>
      </c>
      <c r="B71" s="100" t="s">
        <v>82</v>
      </c>
      <c r="C71" s="100" t="s">
        <v>95</v>
      </c>
      <c r="D71" s="100" t="s">
        <v>96</v>
      </c>
      <c r="E71" s="100">
        <v>1003932</v>
      </c>
      <c r="F71" s="100">
        <v>135</v>
      </c>
      <c r="G71" s="100">
        <v>2358</v>
      </c>
      <c r="H71" s="100">
        <v>18</v>
      </c>
      <c r="I71" s="101" t="s">
        <v>90</v>
      </c>
      <c r="J71" s="101">
        <v>4</v>
      </c>
      <c r="K71" s="100">
        <v>22</v>
      </c>
      <c r="L71" s="116"/>
      <c r="M71" s="116">
        <f>677600/1936.27</f>
        <v>349.951194823036</v>
      </c>
      <c r="N71" s="75">
        <f>24190320/1936.27</f>
        <v>12493.257655182388</v>
      </c>
      <c r="O71" s="133">
        <f>56000000/1936.27*1.0797</f>
        <v>31226.636781027442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13" customFormat="1" ht="18" customHeight="1">
      <c r="A72" s="227" t="s">
        <v>8</v>
      </c>
      <c r="B72" s="100" t="s">
        <v>97</v>
      </c>
      <c r="C72" s="100" t="s">
        <v>98</v>
      </c>
      <c r="D72" s="100" t="s">
        <v>99</v>
      </c>
      <c r="E72" s="100">
        <v>3729</v>
      </c>
      <c r="F72" s="100">
        <v>135</v>
      </c>
      <c r="G72" s="100">
        <v>3530</v>
      </c>
      <c r="H72" s="100">
        <v>2</v>
      </c>
      <c r="I72" s="101" t="s">
        <v>100</v>
      </c>
      <c r="J72" s="101">
        <v>4</v>
      </c>
      <c r="K72" s="100">
        <v>2.5</v>
      </c>
      <c r="L72" s="134"/>
      <c r="M72" s="134">
        <f>250000/1936.27</f>
        <v>129.1142247723716</v>
      </c>
      <c r="N72" s="75">
        <f>26250000/1936.27</f>
        <v>13556.99360109902</v>
      </c>
      <c r="O72" s="133">
        <f>38000000/1936.27*1.0797</f>
        <v>21189.503529982907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13" customFormat="1" ht="18" customHeight="1">
      <c r="A73" s="227" t="s">
        <v>8</v>
      </c>
      <c r="B73" s="100" t="s">
        <v>97</v>
      </c>
      <c r="C73" s="100" t="s">
        <v>98</v>
      </c>
      <c r="D73" s="100" t="s">
        <v>101</v>
      </c>
      <c r="E73" s="100">
        <v>3729</v>
      </c>
      <c r="F73" s="100">
        <v>135</v>
      </c>
      <c r="G73" s="100">
        <v>3530</v>
      </c>
      <c r="H73" s="100">
        <v>3</v>
      </c>
      <c r="I73" s="101" t="s">
        <v>100</v>
      </c>
      <c r="J73" s="101">
        <v>4</v>
      </c>
      <c r="K73" s="100">
        <v>3.5</v>
      </c>
      <c r="L73" s="134"/>
      <c r="M73" s="134">
        <f>350000/1936.27</f>
        <v>180.75991468132028</v>
      </c>
      <c r="N73" s="75">
        <f>36750000/1936.27</f>
        <v>18979.79104153863</v>
      </c>
      <c r="O73" s="133">
        <f>55000000/1936.27*1.0797</f>
        <v>30669.018267080526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13" customFormat="1" ht="18" customHeight="1">
      <c r="A74" s="227" t="s">
        <v>8</v>
      </c>
      <c r="B74" s="100" t="s">
        <v>97</v>
      </c>
      <c r="C74" s="100" t="s">
        <v>102</v>
      </c>
      <c r="D74" s="100" t="s">
        <v>103</v>
      </c>
      <c r="E74" s="100">
        <v>3729</v>
      </c>
      <c r="F74" s="100">
        <v>135</v>
      </c>
      <c r="G74" s="100">
        <v>1738</v>
      </c>
      <c r="H74" s="100">
        <v>2</v>
      </c>
      <c r="I74" s="101" t="s">
        <v>77</v>
      </c>
      <c r="J74" s="101">
        <v>4</v>
      </c>
      <c r="K74" s="100">
        <v>1</v>
      </c>
      <c r="L74" s="134"/>
      <c r="M74" s="134">
        <f>100000/1936.27</f>
        <v>51.64568990894865</v>
      </c>
      <c r="N74" s="75">
        <f>10500000/1936.27</f>
        <v>5422.797440439608</v>
      </c>
      <c r="O74" s="133">
        <f>21000000/1936.27*1.0797</f>
        <v>11709.988792885291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13" customFormat="1" ht="18" customHeight="1">
      <c r="A75" s="227" t="s">
        <v>8</v>
      </c>
      <c r="B75" s="100" t="s">
        <v>97</v>
      </c>
      <c r="C75" s="100" t="s">
        <v>104</v>
      </c>
      <c r="D75" s="100" t="s">
        <v>105</v>
      </c>
      <c r="E75" s="100">
        <v>3729</v>
      </c>
      <c r="F75" s="100">
        <v>135</v>
      </c>
      <c r="G75" s="100">
        <v>1744</v>
      </c>
      <c r="H75" s="100">
        <v>2</v>
      </c>
      <c r="I75" s="101" t="s">
        <v>77</v>
      </c>
      <c r="J75" s="101">
        <v>3</v>
      </c>
      <c r="K75" s="100">
        <v>1</v>
      </c>
      <c r="L75" s="134"/>
      <c r="M75" s="134">
        <f>86000/1936.27</f>
        <v>44.41529332169584</v>
      </c>
      <c r="N75" s="75">
        <f>9030000/1936.27</f>
        <v>4663.605798778063</v>
      </c>
      <c r="O75" s="133">
        <f>14500000/1936.27*1.0797</f>
        <v>8085.4684522303205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13" customFormat="1" ht="18" customHeight="1">
      <c r="A76" s="225" t="s">
        <v>20</v>
      </c>
      <c r="B76" s="154" t="s">
        <v>106</v>
      </c>
      <c r="C76" s="154" t="s">
        <v>502</v>
      </c>
      <c r="D76" s="154" t="s">
        <v>107</v>
      </c>
      <c r="E76" s="154">
        <v>35797</v>
      </c>
      <c r="F76" s="154">
        <v>95</v>
      </c>
      <c r="G76" s="154">
        <v>51</v>
      </c>
      <c r="H76" s="154"/>
      <c r="I76" s="154" t="s">
        <v>108</v>
      </c>
      <c r="J76" s="155" t="s">
        <v>109</v>
      </c>
      <c r="K76" s="154" t="s">
        <v>110</v>
      </c>
      <c r="L76" s="150">
        <v>0</v>
      </c>
      <c r="M76" s="150">
        <v>0</v>
      </c>
      <c r="N76" s="112">
        <v>0</v>
      </c>
      <c r="O76" s="17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13" customFormat="1" ht="18" customHeight="1">
      <c r="A77" s="226" t="s">
        <v>25</v>
      </c>
      <c r="B77" s="105" t="s">
        <v>20</v>
      </c>
      <c r="C77" s="105" t="s">
        <v>502</v>
      </c>
      <c r="D77" s="105" t="s">
        <v>107</v>
      </c>
      <c r="E77" s="105">
        <v>37797</v>
      </c>
      <c r="F77" s="105">
        <v>95</v>
      </c>
      <c r="G77" s="105">
        <v>52</v>
      </c>
      <c r="H77" s="105"/>
      <c r="I77" s="105" t="s">
        <v>57</v>
      </c>
      <c r="J77" s="106">
        <v>3</v>
      </c>
      <c r="K77" s="105" t="s">
        <v>111</v>
      </c>
      <c r="L77" s="83">
        <v>18.42</v>
      </c>
      <c r="M77" s="83">
        <v>18.42</v>
      </c>
      <c r="N77" s="84">
        <f>PRODUCT(M77*75)+(M77*75*25%)</f>
        <v>1726.8750000000002</v>
      </c>
      <c r="O77" s="149">
        <f>20000000/1936.27*1.0797</f>
        <v>11152.370278938373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13" customFormat="1" ht="18" customHeight="1">
      <c r="A78" s="227" t="s">
        <v>8</v>
      </c>
      <c r="B78" s="79" t="s">
        <v>510</v>
      </c>
      <c r="C78" s="100" t="s">
        <v>209</v>
      </c>
      <c r="D78" s="100" t="s">
        <v>599</v>
      </c>
      <c r="E78" s="100" t="s">
        <v>112</v>
      </c>
      <c r="F78" s="100"/>
      <c r="G78" s="100"/>
      <c r="H78" s="100"/>
      <c r="I78" s="101" t="s">
        <v>79</v>
      </c>
      <c r="J78" s="101">
        <v>1</v>
      </c>
      <c r="K78" s="100">
        <v>3348</v>
      </c>
      <c r="L78" s="74"/>
      <c r="M78" s="74">
        <f>5022000/1936.27</f>
        <v>2593.6465472274012</v>
      </c>
      <c r="N78" s="75">
        <f>527310000/1936.27</f>
        <v>272332.8874588771</v>
      </c>
      <c r="O78" s="132">
        <f>PRODUCT(N78*4)</f>
        <v>1089331.5498355085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13" customFormat="1" ht="18" customHeight="1">
      <c r="A79" s="227" t="s">
        <v>8</v>
      </c>
      <c r="B79" s="79" t="s">
        <v>510</v>
      </c>
      <c r="C79" s="100" t="s">
        <v>598</v>
      </c>
      <c r="D79" s="100" t="s">
        <v>113</v>
      </c>
      <c r="E79" s="100">
        <v>6120</v>
      </c>
      <c r="F79" s="100">
        <v>87</v>
      </c>
      <c r="G79" s="100">
        <v>244</v>
      </c>
      <c r="H79" s="100"/>
      <c r="I79" s="101" t="s">
        <v>79</v>
      </c>
      <c r="J79" s="101"/>
      <c r="K79" s="100">
        <v>1434</v>
      </c>
      <c r="L79" s="74"/>
      <c r="M79" s="74">
        <f>2151000/1936.27</f>
        <v>1110.8987899414853</v>
      </c>
      <c r="N79" s="75">
        <f>225855000/1936.27</f>
        <v>116644.37294385597</v>
      </c>
      <c r="O79" s="133">
        <f>PRODUCT(N79*4)</f>
        <v>466577.49177542387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s="13" customFormat="1" ht="18" customHeight="1">
      <c r="A80" s="227" t="s">
        <v>8</v>
      </c>
      <c r="B80" s="79" t="s">
        <v>510</v>
      </c>
      <c r="C80" s="100" t="s">
        <v>497</v>
      </c>
      <c r="D80" s="100" t="s">
        <v>114</v>
      </c>
      <c r="E80" s="100">
        <v>1322</v>
      </c>
      <c r="F80" s="100">
        <v>135</v>
      </c>
      <c r="G80" s="100">
        <v>1145</v>
      </c>
      <c r="H80" s="100">
        <v>3</v>
      </c>
      <c r="I80" s="101" t="s">
        <v>115</v>
      </c>
      <c r="J80" s="101" t="s">
        <v>23</v>
      </c>
      <c r="K80" s="100">
        <v>575</v>
      </c>
      <c r="L80" s="74"/>
      <c r="M80" s="74">
        <f>862500/1936.27</f>
        <v>445.4440754646821</v>
      </c>
      <c r="N80" s="75">
        <f>90562500/1936.27</f>
        <v>46771.62792379162</v>
      </c>
      <c r="O80" s="133">
        <f>PRODUCT(N80*4)</f>
        <v>187086.51169516647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13" customFormat="1" ht="18" customHeight="1">
      <c r="A81" s="225" t="s">
        <v>20</v>
      </c>
      <c r="B81" s="154" t="s">
        <v>106</v>
      </c>
      <c r="C81" s="154" t="s">
        <v>501</v>
      </c>
      <c r="D81" s="154" t="s">
        <v>116</v>
      </c>
      <c r="E81" s="154">
        <v>35797</v>
      </c>
      <c r="F81" s="154">
        <v>98</v>
      </c>
      <c r="G81" s="154">
        <v>52</v>
      </c>
      <c r="H81" s="154"/>
      <c r="I81" s="154" t="s">
        <v>117</v>
      </c>
      <c r="J81" s="155"/>
      <c r="K81" s="175" t="s">
        <v>118</v>
      </c>
      <c r="L81" s="150">
        <v>0</v>
      </c>
      <c r="M81" s="150">
        <v>0</v>
      </c>
      <c r="N81" s="112">
        <v>0</v>
      </c>
      <c r="O81" s="17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13" customFormat="1" ht="18" customHeight="1">
      <c r="A82" s="228" t="s">
        <v>25</v>
      </c>
      <c r="B82" s="102" t="s">
        <v>20</v>
      </c>
      <c r="C82" s="102" t="s">
        <v>501</v>
      </c>
      <c r="D82" s="102" t="s">
        <v>119</v>
      </c>
      <c r="E82" s="102">
        <v>35797</v>
      </c>
      <c r="F82" s="102">
        <v>98</v>
      </c>
      <c r="G82" s="102">
        <v>27</v>
      </c>
      <c r="H82" s="102"/>
      <c r="I82" s="102" t="s">
        <v>55</v>
      </c>
      <c r="J82" s="103">
        <v>1</v>
      </c>
      <c r="K82" s="102" t="s">
        <v>120</v>
      </c>
      <c r="L82" s="62">
        <v>30.1</v>
      </c>
      <c r="M82" s="62">
        <v>48.5</v>
      </c>
      <c r="N82" s="60">
        <f aca="true" t="shared" si="1" ref="N82:N90">PRODUCT(M82*75)+(M82*75*25%)</f>
        <v>4546.875</v>
      </c>
      <c r="O82" s="17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13" customFormat="1" ht="18" customHeight="1">
      <c r="A83" s="228" t="s">
        <v>25</v>
      </c>
      <c r="B83" s="102" t="s">
        <v>20</v>
      </c>
      <c r="C83" s="102" t="s">
        <v>501</v>
      </c>
      <c r="D83" s="102" t="s">
        <v>119</v>
      </c>
      <c r="E83" s="102">
        <v>35797</v>
      </c>
      <c r="F83" s="102">
        <v>98</v>
      </c>
      <c r="G83" s="102">
        <v>28</v>
      </c>
      <c r="H83" s="102"/>
      <c r="I83" s="102" t="s">
        <v>121</v>
      </c>
      <c r="J83" s="103">
        <v>1</v>
      </c>
      <c r="K83" s="104" t="s">
        <v>122</v>
      </c>
      <c r="L83" s="62">
        <v>3.29</v>
      </c>
      <c r="M83" s="62">
        <v>8.23</v>
      </c>
      <c r="N83" s="60">
        <f t="shared" si="1"/>
        <v>771.5625</v>
      </c>
      <c r="O83" s="17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13" customFormat="1" ht="18" customHeight="1">
      <c r="A84" s="228" t="s">
        <v>25</v>
      </c>
      <c r="B84" s="102" t="s">
        <v>20</v>
      </c>
      <c r="C84" s="102" t="s">
        <v>501</v>
      </c>
      <c r="D84" s="102" t="s">
        <v>119</v>
      </c>
      <c r="E84" s="102">
        <v>35797</v>
      </c>
      <c r="F84" s="102">
        <v>98</v>
      </c>
      <c r="G84" s="102">
        <v>29</v>
      </c>
      <c r="H84" s="102"/>
      <c r="I84" s="102" t="s">
        <v>123</v>
      </c>
      <c r="J84" s="103">
        <v>2</v>
      </c>
      <c r="K84" s="104" t="s">
        <v>124</v>
      </c>
      <c r="L84" s="62">
        <v>109.59</v>
      </c>
      <c r="M84" s="62">
        <v>232.88</v>
      </c>
      <c r="N84" s="60">
        <f t="shared" si="1"/>
        <v>21832.5</v>
      </c>
      <c r="O84" s="17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13" customFormat="1" ht="18" customHeight="1">
      <c r="A85" s="226" t="s">
        <v>25</v>
      </c>
      <c r="B85" s="105" t="s">
        <v>20</v>
      </c>
      <c r="C85" s="105" t="s">
        <v>501</v>
      </c>
      <c r="D85" s="105" t="s">
        <v>119</v>
      </c>
      <c r="E85" s="105">
        <v>35797</v>
      </c>
      <c r="F85" s="105">
        <v>98</v>
      </c>
      <c r="G85" s="105">
        <v>30</v>
      </c>
      <c r="H85" s="105"/>
      <c r="I85" s="105" t="s">
        <v>57</v>
      </c>
      <c r="J85" s="106">
        <v>2</v>
      </c>
      <c r="K85" s="105" t="s">
        <v>470</v>
      </c>
      <c r="L85" s="83">
        <v>136.69</v>
      </c>
      <c r="M85" s="83">
        <v>156.22</v>
      </c>
      <c r="N85" s="84">
        <f t="shared" si="1"/>
        <v>14645.625</v>
      </c>
      <c r="O85" s="149">
        <f>211000000/1936.27*1.0797</f>
        <v>117657.50644279983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13" customFormat="1" ht="18" customHeight="1">
      <c r="A86" s="225" t="s">
        <v>25</v>
      </c>
      <c r="B86" s="154" t="s">
        <v>125</v>
      </c>
      <c r="C86" s="154" t="s">
        <v>95</v>
      </c>
      <c r="D86" s="154" t="s">
        <v>126</v>
      </c>
      <c r="E86" s="154">
        <v>35797</v>
      </c>
      <c r="F86" s="154">
        <v>98</v>
      </c>
      <c r="G86" s="154">
        <v>392</v>
      </c>
      <c r="H86" s="154"/>
      <c r="I86" s="154" t="s">
        <v>123</v>
      </c>
      <c r="J86" s="155">
        <v>2</v>
      </c>
      <c r="K86" s="175" t="s">
        <v>127</v>
      </c>
      <c r="L86" s="150">
        <v>2.32</v>
      </c>
      <c r="M86" s="150">
        <v>4.93</v>
      </c>
      <c r="N86" s="112">
        <f t="shared" si="1"/>
        <v>462.1875</v>
      </c>
      <c r="O86" s="17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13" customFormat="1" ht="18" customHeight="1">
      <c r="A87" s="226" t="s">
        <v>25</v>
      </c>
      <c r="B87" s="105" t="s">
        <v>125</v>
      </c>
      <c r="C87" s="105" t="s">
        <v>95</v>
      </c>
      <c r="D87" s="105" t="s">
        <v>126</v>
      </c>
      <c r="E87" s="105">
        <v>35797</v>
      </c>
      <c r="F87" s="105">
        <v>98</v>
      </c>
      <c r="G87" s="105">
        <v>393</v>
      </c>
      <c r="H87" s="105"/>
      <c r="I87" s="105" t="s">
        <v>123</v>
      </c>
      <c r="J87" s="106">
        <v>2</v>
      </c>
      <c r="K87" s="105" t="s">
        <v>471</v>
      </c>
      <c r="L87" s="83">
        <v>0.96</v>
      </c>
      <c r="M87" s="83">
        <v>2.05</v>
      </c>
      <c r="N87" s="84">
        <f t="shared" si="1"/>
        <v>192.1875</v>
      </c>
      <c r="O87" s="173">
        <f>48000000/1936.27*1.0797</f>
        <v>26765.688669452094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13" customFormat="1" ht="18" customHeight="1">
      <c r="A88" s="225" t="s">
        <v>25</v>
      </c>
      <c r="B88" s="154" t="s">
        <v>20</v>
      </c>
      <c r="C88" s="154" t="s">
        <v>95</v>
      </c>
      <c r="D88" s="154" t="s">
        <v>128</v>
      </c>
      <c r="E88" s="154">
        <v>35797</v>
      </c>
      <c r="F88" s="154">
        <v>100</v>
      </c>
      <c r="G88" s="154">
        <v>26</v>
      </c>
      <c r="H88" s="154"/>
      <c r="I88" s="154" t="s">
        <v>117</v>
      </c>
      <c r="J88" s="155"/>
      <c r="K88" s="175" t="s">
        <v>129</v>
      </c>
      <c r="L88" s="150">
        <v>0</v>
      </c>
      <c r="M88" s="150">
        <v>0</v>
      </c>
      <c r="N88" s="112">
        <v>0</v>
      </c>
      <c r="O88" s="17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13" customFormat="1" ht="18" customHeight="1">
      <c r="A89" s="228" t="s">
        <v>25</v>
      </c>
      <c r="B89" s="102" t="s">
        <v>20</v>
      </c>
      <c r="C89" s="102" t="s">
        <v>95</v>
      </c>
      <c r="D89" s="102" t="s">
        <v>128</v>
      </c>
      <c r="E89" s="102">
        <v>35797</v>
      </c>
      <c r="F89" s="102">
        <v>100</v>
      </c>
      <c r="G89" s="102">
        <v>27</v>
      </c>
      <c r="H89" s="102"/>
      <c r="I89" s="102" t="s">
        <v>57</v>
      </c>
      <c r="J89" s="103">
        <v>3</v>
      </c>
      <c r="K89" s="102" t="s">
        <v>472</v>
      </c>
      <c r="L89" s="62">
        <v>78.94</v>
      </c>
      <c r="M89" s="62">
        <v>78.94</v>
      </c>
      <c r="N89" s="60">
        <f t="shared" si="1"/>
        <v>7400.625</v>
      </c>
      <c r="O89" s="17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13" customFormat="1" ht="18" customHeight="1">
      <c r="A90" s="226" t="s">
        <v>25</v>
      </c>
      <c r="B90" s="105" t="s">
        <v>20</v>
      </c>
      <c r="C90" s="105" t="s">
        <v>95</v>
      </c>
      <c r="D90" s="105" t="s">
        <v>128</v>
      </c>
      <c r="E90" s="105">
        <v>35797</v>
      </c>
      <c r="F90" s="105">
        <v>100</v>
      </c>
      <c r="G90" s="105">
        <v>95</v>
      </c>
      <c r="H90" s="105"/>
      <c r="I90" s="105" t="s">
        <v>57</v>
      </c>
      <c r="J90" s="106">
        <v>3</v>
      </c>
      <c r="K90" s="105" t="s">
        <v>473</v>
      </c>
      <c r="L90" s="83">
        <v>21.1</v>
      </c>
      <c r="M90" s="83">
        <v>21.1</v>
      </c>
      <c r="N90" s="84">
        <f t="shared" si="1"/>
        <v>1978.125</v>
      </c>
      <c r="O90" s="149">
        <f>63000000/1936.27*1.0797</f>
        <v>35129.966378655874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15" ht="12.75">
      <c r="A91" s="156" t="s">
        <v>531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8"/>
      <c r="N91" s="158"/>
      <c r="O91" s="159"/>
    </row>
    <row r="92" spans="1:36" ht="12.75">
      <c r="A92" s="160" t="s">
        <v>1</v>
      </c>
      <c r="B92" s="161" t="s">
        <v>479</v>
      </c>
      <c r="C92" s="161" t="s">
        <v>478</v>
      </c>
      <c r="D92" s="161" t="s">
        <v>477</v>
      </c>
      <c r="E92" s="161" t="s">
        <v>2</v>
      </c>
      <c r="F92" s="161" t="s">
        <v>3</v>
      </c>
      <c r="G92" s="162" t="s">
        <v>480</v>
      </c>
      <c r="H92" s="161" t="s">
        <v>4</v>
      </c>
      <c r="I92" s="160" t="s">
        <v>5</v>
      </c>
      <c r="J92" s="160" t="s">
        <v>6</v>
      </c>
      <c r="K92" s="160" t="s">
        <v>7</v>
      </c>
      <c r="L92" s="160" t="s">
        <v>455</v>
      </c>
      <c r="M92" s="163" t="s">
        <v>468</v>
      </c>
      <c r="N92" s="164" t="s">
        <v>508</v>
      </c>
      <c r="O92" s="165" t="s">
        <v>507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>
      <c r="A93" s="166"/>
      <c r="B93" s="167"/>
      <c r="C93" s="167"/>
      <c r="D93" s="167"/>
      <c r="E93" s="166"/>
      <c r="F93" s="167"/>
      <c r="G93" s="168"/>
      <c r="H93" s="167"/>
      <c r="I93" s="166"/>
      <c r="J93" s="166"/>
      <c r="K93" s="166"/>
      <c r="L93" s="167" t="s">
        <v>509</v>
      </c>
      <c r="M93" s="169" t="s">
        <v>509</v>
      </c>
      <c r="N93" s="170" t="s">
        <v>509</v>
      </c>
      <c r="O93" s="171" t="s">
        <v>513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15" s="1" customFormat="1" ht="18" customHeight="1">
      <c r="A94" s="227" t="s">
        <v>25</v>
      </c>
      <c r="B94" s="71" t="s">
        <v>20</v>
      </c>
      <c r="C94" s="71" t="s">
        <v>95</v>
      </c>
      <c r="D94" s="71" t="s">
        <v>130</v>
      </c>
      <c r="E94" s="71">
        <v>4012</v>
      </c>
      <c r="F94" s="71">
        <v>4</v>
      </c>
      <c r="G94" s="71">
        <v>98</v>
      </c>
      <c r="H94" s="71"/>
      <c r="I94" s="71" t="s">
        <v>131</v>
      </c>
      <c r="J94" s="72">
        <v>2</v>
      </c>
      <c r="K94" s="87" t="s">
        <v>474</v>
      </c>
      <c r="L94" s="88">
        <v>75.19</v>
      </c>
      <c r="M94" s="88">
        <v>191.85</v>
      </c>
      <c r="N94" s="75">
        <f>PRODUCT(M94*75)+(M94*75*25%)</f>
        <v>17985.9375</v>
      </c>
      <c r="O94" s="117">
        <f>30000000/1936.27*1.0797</f>
        <v>16728.55541840756</v>
      </c>
    </row>
    <row r="95" spans="1:15" ht="12.75">
      <c r="A95" s="156" t="s">
        <v>534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8"/>
      <c r="N95" s="158"/>
      <c r="O95" s="159"/>
    </row>
    <row r="96" spans="1:36" ht="12.75">
      <c r="A96" s="160" t="s">
        <v>1</v>
      </c>
      <c r="B96" s="161" t="s">
        <v>479</v>
      </c>
      <c r="C96" s="161" t="s">
        <v>478</v>
      </c>
      <c r="D96" s="161" t="s">
        <v>477</v>
      </c>
      <c r="E96" s="161" t="s">
        <v>2</v>
      </c>
      <c r="F96" s="161" t="s">
        <v>3</v>
      </c>
      <c r="G96" s="162" t="s">
        <v>480</v>
      </c>
      <c r="H96" s="161" t="s">
        <v>4</v>
      </c>
      <c r="I96" s="160" t="s">
        <v>5</v>
      </c>
      <c r="J96" s="160" t="s">
        <v>6</v>
      </c>
      <c r="K96" s="160" t="s">
        <v>7</v>
      </c>
      <c r="L96" s="160" t="s">
        <v>455</v>
      </c>
      <c r="M96" s="163" t="s">
        <v>468</v>
      </c>
      <c r="N96" s="164" t="s">
        <v>508</v>
      </c>
      <c r="O96" s="165" t="s">
        <v>507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>
      <c r="A97" s="166"/>
      <c r="B97" s="167"/>
      <c r="C97" s="167"/>
      <c r="D97" s="167"/>
      <c r="E97" s="166"/>
      <c r="F97" s="167"/>
      <c r="G97" s="168"/>
      <c r="H97" s="167"/>
      <c r="I97" s="166"/>
      <c r="J97" s="166"/>
      <c r="K97" s="166"/>
      <c r="L97" s="167" t="s">
        <v>509</v>
      </c>
      <c r="M97" s="169" t="s">
        <v>509</v>
      </c>
      <c r="N97" s="170" t="s">
        <v>509</v>
      </c>
      <c r="O97" s="171" t="s">
        <v>513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12" customFormat="1" ht="18" customHeight="1">
      <c r="A98" s="225" t="s">
        <v>8</v>
      </c>
      <c r="B98" s="107" t="s">
        <v>510</v>
      </c>
      <c r="C98" s="107" t="s">
        <v>503</v>
      </c>
      <c r="D98" s="107" t="s">
        <v>491</v>
      </c>
      <c r="E98" s="107">
        <v>1005302</v>
      </c>
      <c r="F98" s="107">
        <v>22</v>
      </c>
      <c r="G98" s="107">
        <v>386</v>
      </c>
      <c r="H98" s="107">
        <v>1</v>
      </c>
      <c r="I98" s="109" t="s">
        <v>79</v>
      </c>
      <c r="J98" s="109" t="s">
        <v>23</v>
      </c>
      <c r="K98" s="107">
        <v>12657</v>
      </c>
      <c r="L98" s="141"/>
      <c r="M98" s="142">
        <v>9805.25</v>
      </c>
      <c r="N98" s="112">
        <f>PRODUCT(M98*100)+(M98*100*5%)</f>
        <v>1029551.25</v>
      </c>
      <c r="O98" s="199">
        <f>PRODUCT(N98*5)</f>
        <v>5147756.25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12" customFormat="1" ht="18" customHeight="1">
      <c r="A99" s="226" t="s">
        <v>25</v>
      </c>
      <c r="B99" s="80" t="s">
        <v>510</v>
      </c>
      <c r="C99" s="80" t="s">
        <v>503</v>
      </c>
      <c r="D99" s="80" t="s">
        <v>532</v>
      </c>
      <c r="E99" s="80"/>
      <c r="F99" s="80">
        <v>22</v>
      </c>
      <c r="G99" s="80">
        <v>902</v>
      </c>
      <c r="H99" s="80"/>
      <c r="I99" s="81" t="s">
        <v>203</v>
      </c>
      <c r="J99" s="81" t="s">
        <v>23</v>
      </c>
      <c r="K99" s="80" t="s">
        <v>533</v>
      </c>
      <c r="L99" s="83">
        <v>13.82</v>
      </c>
      <c r="M99" s="83">
        <v>16.33</v>
      </c>
      <c r="N99" s="84">
        <f>PRODUCT(M99*75)+(M99*75*25%)</f>
        <v>1530.9374999999998</v>
      </c>
      <c r="O99" s="149">
        <f>PRODUCT(N99*5)</f>
        <v>7654.687499999999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12" customFormat="1" ht="18" customHeight="1">
      <c r="A100" s="227"/>
      <c r="B100" s="71"/>
      <c r="C100" s="71"/>
      <c r="D100" s="71"/>
      <c r="E100" s="71"/>
      <c r="F100" s="71"/>
      <c r="G100" s="71"/>
      <c r="H100" s="71"/>
      <c r="I100" s="72"/>
      <c r="J100" s="72"/>
      <c r="K100" s="71"/>
      <c r="L100" s="131"/>
      <c r="M100" s="74"/>
      <c r="N100" s="75"/>
      <c r="O100" s="13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15" ht="12.75">
      <c r="A101" s="156" t="s">
        <v>536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8"/>
      <c r="N101" s="158"/>
      <c r="O101" s="159"/>
    </row>
    <row r="102" spans="1:36" ht="12.75">
      <c r="A102" s="160" t="s">
        <v>1</v>
      </c>
      <c r="B102" s="161" t="s">
        <v>479</v>
      </c>
      <c r="C102" s="161" t="s">
        <v>478</v>
      </c>
      <c r="D102" s="161" t="s">
        <v>477</v>
      </c>
      <c r="E102" s="161" t="s">
        <v>2</v>
      </c>
      <c r="F102" s="161" t="s">
        <v>3</v>
      </c>
      <c r="G102" s="162" t="s">
        <v>480</v>
      </c>
      <c r="H102" s="161" t="s">
        <v>4</v>
      </c>
      <c r="I102" s="160" t="s">
        <v>5</v>
      </c>
      <c r="J102" s="160" t="s">
        <v>6</v>
      </c>
      <c r="K102" s="160" t="s">
        <v>7</v>
      </c>
      <c r="L102" s="160" t="s">
        <v>455</v>
      </c>
      <c r="M102" s="163" t="s">
        <v>468</v>
      </c>
      <c r="N102" s="164" t="s">
        <v>508</v>
      </c>
      <c r="O102" s="165" t="s">
        <v>507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>
      <c r="A103" s="166"/>
      <c r="B103" s="167"/>
      <c r="C103" s="167"/>
      <c r="D103" s="167"/>
      <c r="E103" s="166"/>
      <c r="F103" s="167"/>
      <c r="G103" s="168"/>
      <c r="H103" s="167"/>
      <c r="I103" s="166"/>
      <c r="J103" s="166"/>
      <c r="K103" s="166"/>
      <c r="L103" s="167" t="s">
        <v>509</v>
      </c>
      <c r="M103" s="169" t="s">
        <v>509</v>
      </c>
      <c r="N103" s="170" t="s">
        <v>509</v>
      </c>
      <c r="O103" s="171" t="s">
        <v>513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12" customFormat="1" ht="18" customHeight="1">
      <c r="A104" s="227" t="s">
        <v>8</v>
      </c>
      <c r="B104" s="79" t="s">
        <v>510</v>
      </c>
      <c r="C104" s="71" t="s">
        <v>134</v>
      </c>
      <c r="D104" s="71" t="s">
        <v>535</v>
      </c>
      <c r="E104" s="71"/>
      <c r="F104" s="71">
        <v>11</v>
      </c>
      <c r="G104" s="71">
        <v>1800</v>
      </c>
      <c r="H104" s="71"/>
      <c r="I104" s="72" t="s">
        <v>22</v>
      </c>
      <c r="J104" s="72" t="s">
        <v>23</v>
      </c>
      <c r="K104" s="71">
        <v>2646</v>
      </c>
      <c r="L104" s="131"/>
      <c r="M104" s="74">
        <v>2049.83</v>
      </c>
      <c r="N104" s="75">
        <f>PRODUCT(M104*100)+(M104*100*5%)</f>
        <v>215232.15</v>
      </c>
      <c r="O104" s="133">
        <f>PRODUCT(N104*5)</f>
        <v>1076160.75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15" ht="12.75">
      <c r="A105" s="156" t="s">
        <v>537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8"/>
      <c r="N105" s="158"/>
      <c r="O105" s="159"/>
    </row>
    <row r="106" spans="1:36" ht="12.75">
      <c r="A106" s="160" t="s">
        <v>1</v>
      </c>
      <c r="B106" s="161" t="s">
        <v>479</v>
      </c>
      <c r="C106" s="161" t="s">
        <v>478</v>
      </c>
      <c r="D106" s="161" t="s">
        <v>477</v>
      </c>
      <c r="E106" s="161" t="s">
        <v>2</v>
      </c>
      <c r="F106" s="161" t="s">
        <v>3</v>
      </c>
      <c r="G106" s="162" t="s">
        <v>480</v>
      </c>
      <c r="H106" s="161" t="s">
        <v>4</v>
      </c>
      <c r="I106" s="160" t="s">
        <v>5</v>
      </c>
      <c r="J106" s="160" t="s">
        <v>6</v>
      </c>
      <c r="K106" s="160" t="s">
        <v>7</v>
      </c>
      <c r="L106" s="160" t="s">
        <v>455</v>
      </c>
      <c r="M106" s="163" t="s">
        <v>468</v>
      </c>
      <c r="N106" s="164" t="s">
        <v>508</v>
      </c>
      <c r="O106" s="165" t="s">
        <v>507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>
      <c r="A107" s="166"/>
      <c r="B107" s="167"/>
      <c r="C107" s="167"/>
      <c r="D107" s="167"/>
      <c r="E107" s="166"/>
      <c r="F107" s="167"/>
      <c r="G107" s="168"/>
      <c r="H107" s="167"/>
      <c r="I107" s="166"/>
      <c r="J107" s="166"/>
      <c r="K107" s="166"/>
      <c r="L107" s="167" t="s">
        <v>509</v>
      </c>
      <c r="M107" s="169" t="s">
        <v>509</v>
      </c>
      <c r="N107" s="170" t="s">
        <v>509</v>
      </c>
      <c r="O107" s="171" t="s">
        <v>513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13" customFormat="1" ht="18" customHeight="1">
      <c r="A108" s="225" t="s">
        <v>25</v>
      </c>
      <c r="B108" s="107" t="s">
        <v>20</v>
      </c>
      <c r="C108" s="107" t="s">
        <v>136</v>
      </c>
      <c r="D108" s="107" t="s">
        <v>137</v>
      </c>
      <c r="E108" s="107">
        <v>48183</v>
      </c>
      <c r="F108" s="107">
        <v>96</v>
      </c>
      <c r="G108" s="107">
        <v>1</v>
      </c>
      <c r="H108" s="107"/>
      <c r="I108" s="107" t="s">
        <v>57</v>
      </c>
      <c r="J108" s="109">
        <v>2</v>
      </c>
      <c r="K108" s="107" t="s">
        <v>138</v>
      </c>
      <c r="L108" s="150">
        <v>117.93</v>
      </c>
      <c r="M108" s="150">
        <v>199.57</v>
      </c>
      <c r="N108" s="112">
        <f aca="true" t="shared" si="2" ref="N108:N115">PRODUCT(M108*75)+(M108*75*25%)</f>
        <v>18709.6875</v>
      </c>
      <c r="O108" s="18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13" customFormat="1" ht="18" customHeight="1">
      <c r="A109" s="228" t="s">
        <v>25</v>
      </c>
      <c r="B109" s="56" t="s">
        <v>20</v>
      </c>
      <c r="C109" s="56" t="s">
        <v>139</v>
      </c>
      <c r="D109" s="56" t="s">
        <v>137</v>
      </c>
      <c r="E109" s="56">
        <v>48183</v>
      </c>
      <c r="F109" s="56">
        <v>96</v>
      </c>
      <c r="G109" s="56">
        <v>5</v>
      </c>
      <c r="H109" s="56"/>
      <c r="I109" s="56" t="s">
        <v>140</v>
      </c>
      <c r="J109" s="57">
        <v>3</v>
      </c>
      <c r="K109" s="56" t="s">
        <v>141</v>
      </c>
      <c r="L109" s="62">
        <v>8.13</v>
      </c>
      <c r="M109" s="62">
        <v>12.06</v>
      </c>
      <c r="N109" s="60">
        <f t="shared" si="2"/>
        <v>1130.625</v>
      </c>
      <c r="O109" s="18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13" customFormat="1" ht="18" customHeight="1">
      <c r="A110" s="228" t="s">
        <v>25</v>
      </c>
      <c r="B110" s="56" t="s">
        <v>20</v>
      </c>
      <c r="C110" s="56" t="s">
        <v>139</v>
      </c>
      <c r="D110" s="56" t="s">
        <v>137</v>
      </c>
      <c r="E110" s="56">
        <v>48183</v>
      </c>
      <c r="F110" s="56">
        <v>96</v>
      </c>
      <c r="G110" s="56">
        <v>14</v>
      </c>
      <c r="H110" s="56"/>
      <c r="I110" s="56" t="s">
        <v>117</v>
      </c>
      <c r="J110" s="57"/>
      <c r="K110" s="56" t="s">
        <v>142</v>
      </c>
      <c r="L110" s="62">
        <v>0</v>
      </c>
      <c r="M110" s="62">
        <v>0</v>
      </c>
      <c r="N110" s="60">
        <f t="shared" si="2"/>
        <v>0</v>
      </c>
      <c r="O110" s="18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13" customFormat="1" ht="18" customHeight="1">
      <c r="A111" s="228" t="s">
        <v>25</v>
      </c>
      <c r="B111" s="56" t="s">
        <v>20</v>
      </c>
      <c r="C111" s="56" t="s">
        <v>139</v>
      </c>
      <c r="D111" s="56" t="s">
        <v>137</v>
      </c>
      <c r="E111" s="56">
        <v>48183</v>
      </c>
      <c r="F111" s="56">
        <v>96</v>
      </c>
      <c r="G111" s="56">
        <v>15</v>
      </c>
      <c r="H111" s="56"/>
      <c r="I111" s="56" t="s">
        <v>57</v>
      </c>
      <c r="J111" s="57">
        <v>2</v>
      </c>
      <c r="K111" s="56" t="s">
        <v>143</v>
      </c>
      <c r="L111" s="62">
        <v>94.35</v>
      </c>
      <c r="M111" s="62">
        <v>159.68</v>
      </c>
      <c r="N111" s="60">
        <f t="shared" si="2"/>
        <v>14970</v>
      </c>
      <c r="O111" s="18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13" customFormat="1" ht="18" customHeight="1">
      <c r="A112" s="228" t="s">
        <v>25</v>
      </c>
      <c r="B112" s="56" t="s">
        <v>20</v>
      </c>
      <c r="C112" s="56" t="s">
        <v>139</v>
      </c>
      <c r="D112" s="56" t="s">
        <v>137</v>
      </c>
      <c r="E112" s="56">
        <v>48183</v>
      </c>
      <c r="F112" s="56">
        <v>96</v>
      </c>
      <c r="G112" s="56">
        <v>22</v>
      </c>
      <c r="H112" s="56"/>
      <c r="I112" s="56" t="s">
        <v>63</v>
      </c>
      <c r="J112" s="57">
        <v>2</v>
      </c>
      <c r="K112" s="56" t="s">
        <v>144</v>
      </c>
      <c r="L112" s="62">
        <v>1.28</v>
      </c>
      <c r="M112" s="62">
        <v>2.56</v>
      </c>
      <c r="N112" s="60">
        <f t="shared" si="2"/>
        <v>240</v>
      </c>
      <c r="O112" s="18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13" customFormat="1" ht="18" customHeight="1">
      <c r="A113" s="228" t="s">
        <v>25</v>
      </c>
      <c r="B113" s="56" t="s">
        <v>20</v>
      </c>
      <c r="C113" s="56" t="s">
        <v>139</v>
      </c>
      <c r="D113" s="56" t="s">
        <v>137</v>
      </c>
      <c r="E113" s="56">
        <v>48183</v>
      </c>
      <c r="F113" s="56">
        <v>96</v>
      </c>
      <c r="G113" s="56">
        <v>158</v>
      </c>
      <c r="H113" s="56"/>
      <c r="I113" s="56" t="s">
        <v>145</v>
      </c>
      <c r="J113" s="57">
        <v>3</v>
      </c>
      <c r="K113" s="56" t="s">
        <v>146</v>
      </c>
      <c r="L113" s="62">
        <v>120</v>
      </c>
      <c r="M113" s="62">
        <v>180</v>
      </c>
      <c r="N113" s="60">
        <f t="shared" si="2"/>
        <v>16875</v>
      </c>
      <c r="O113" s="18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13" customFormat="1" ht="18" customHeight="1">
      <c r="A114" s="228" t="s">
        <v>25</v>
      </c>
      <c r="B114" s="56" t="s">
        <v>20</v>
      </c>
      <c r="C114" s="56" t="s">
        <v>139</v>
      </c>
      <c r="D114" s="56" t="s">
        <v>137</v>
      </c>
      <c r="E114" s="56">
        <v>48183</v>
      </c>
      <c r="F114" s="56">
        <v>96</v>
      </c>
      <c r="G114" s="56">
        <v>159</v>
      </c>
      <c r="H114" s="56"/>
      <c r="I114" s="56" t="s">
        <v>147</v>
      </c>
      <c r="J114" s="57">
        <v>3</v>
      </c>
      <c r="K114" s="56" t="s">
        <v>148</v>
      </c>
      <c r="L114" s="62">
        <v>66.83</v>
      </c>
      <c r="M114" s="62">
        <v>89.1</v>
      </c>
      <c r="N114" s="60">
        <f t="shared" si="2"/>
        <v>8353.125</v>
      </c>
      <c r="O114" s="18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13" customFormat="1" ht="18" customHeight="1">
      <c r="A115" s="228" t="s">
        <v>25</v>
      </c>
      <c r="B115" s="56" t="s">
        <v>20</v>
      </c>
      <c r="C115" s="56" t="s">
        <v>139</v>
      </c>
      <c r="D115" s="56" t="s">
        <v>137</v>
      </c>
      <c r="E115" s="56">
        <v>48183</v>
      </c>
      <c r="F115" s="56">
        <v>96</v>
      </c>
      <c r="G115" s="56">
        <v>160</v>
      </c>
      <c r="H115" s="56"/>
      <c r="I115" s="56" t="s">
        <v>147</v>
      </c>
      <c r="J115" s="57">
        <v>3</v>
      </c>
      <c r="K115" s="182" t="s">
        <v>149</v>
      </c>
      <c r="L115" s="62">
        <v>147.72</v>
      </c>
      <c r="M115" s="62">
        <v>196.96</v>
      </c>
      <c r="N115" s="60">
        <f t="shared" si="2"/>
        <v>18465</v>
      </c>
      <c r="O115" s="18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13" customFormat="1" ht="18" customHeight="1">
      <c r="A116" s="228" t="s">
        <v>25</v>
      </c>
      <c r="B116" s="56" t="s">
        <v>20</v>
      </c>
      <c r="C116" s="56" t="s">
        <v>139</v>
      </c>
      <c r="D116" s="56" t="s">
        <v>137</v>
      </c>
      <c r="E116" s="56">
        <v>48183</v>
      </c>
      <c r="F116" s="56">
        <v>96</v>
      </c>
      <c r="G116" s="56">
        <v>545</v>
      </c>
      <c r="H116" s="56"/>
      <c r="I116" s="56" t="s">
        <v>140</v>
      </c>
      <c r="J116" s="57">
        <v>3</v>
      </c>
      <c r="K116" s="56" t="s">
        <v>150</v>
      </c>
      <c r="L116" s="62">
        <v>15.91</v>
      </c>
      <c r="M116" s="62">
        <v>23.6</v>
      </c>
      <c r="N116" s="60">
        <f>PRODUCT(M116*75)+(M116*75*25%)</f>
        <v>2212.5</v>
      </c>
      <c r="O116" s="18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13" customFormat="1" ht="18" customHeight="1">
      <c r="A117" s="228" t="s">
        <v>25</v>
      </c>
      <c r="B117" s="56" t="s">
        <v>20</v>
      </c>
      <c r="C117" s="56" t="s">
        <v>139</v>
      </c>
      <c r="D117" s="56" t="s">
        <v>137</v>
      </c>
      <c r="E117" s="56">
        <v>48183</v>
      </c>
      <c r="F117" s="56">
        <v>96</v>
      </c>
      <c r="G117" s="56">
        <v>547</v>
      </c>
      <c r="H117" s="56"/>
      <c r="I117" s="56" t="s">
        <v>140</v>
      </c>
      <c r="J117" s="57">
        <v>2</v>
      </c>
      <c r="K117" s="182" t="s">
        <v>151</v>
      </c>
      <c r="L117" s="62">
        <v>3.26</v>
      </c>
      <c r="M117" s="62">
        <v>6.34</v>
      </c>
      <c r="N117" s="60">
        <f>PRODUCT(M117*75)+(M117*75*25%)</f>
        <v>594.375</v>
      </c>
      <c r="O117" s="18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13" customFormat="1" ht="18" customHeight="1">
      <c r="A118" s="228" t="s">
        <v>25</v>
      </c>
      <c r="B118" s="56" t="s">
        <v>20</v>
      </c>
      <c r="C118" s="56" t="s">
        <v>139</v>
      </c>
      <c r="D118" s="56" t="s">
        <v>137</v>
      </c>
      <c r="E118" s="56">
        <v>48183</v>
      </c>
      <c r="F118" s="56">
        <v>96</v>
      </c>
      <c r="G118" s="56">
        <v>549</v>
      </c>
      <c r="H118" s="56"/>
      <c r="I118" s="56" t="s">
        <v>145</v>
      </c>
      <c r="J118" s="57">
        <v>2</v>
      </c>
      <c r="K118" s="182" t="s">
        <v>152</v>
      </c>
      <c r="L118" s="62">
        <v>9.68</v>
      </c>
      <c r="M118" s="62">
        <v>21.78</v>
      </c>
      <c r="N118" s="60">
        <f>PRODUCT(M118*75)+(M118*75*25%)</f>
        <v>2041.875</v>
      </c>
      <c r="O118" s="18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13" customFormat="1" ht="18" customHeight="1">
      <c r="A119" s="228" t="s">
        <v>8</v>
      </c>
      <c r="B119" s="56" t="s">
        <v>71</v>
      </c>
      <c r="C119" s="56" t="s">
        <v>139</v>
      </c>
      <c r="D119" s="56" t="s">
        <v>137</v>
      </c>
      <c r="E119" s="56">
        <v>1017891</v>
      </c>
      <c r="F119" s="56">
        <v>96</v>
      </c>
      <c r="G119" s="56">
        <v>6</v>
      </c>
      <c r="H119" s="56"/>
      <c r="I119" s="57" t="s">
        <v>53</v>
      </c>
      <c r="J119" s="57">
        <v>2</v>
      </c>
      <c r="K119" s="56">
        <v>148</v>
      </c>
      <c r="L119" s="183"/>
      <c r="M119" s="183">
        <f>222000/1936.27</f>
        <v>114.653431597866</v>
      </c>
      <c r="N119" s="60">
        <f aca="true" t="shared" si="3" ref="N119:N131">PRODUCT(M119*100)+(M119*100*5%)</f>
        <v>12038.61031777593</v>
      </c>
      <c r="O119" s="18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13" customFormat="1" ht="18" customHeight="1">
      <c r="A120" s="228" t="s">
        <v>8</v>
      </c>
      <c r="B120" s="56" t="s">
        <v>71</v>
      </c>
      <c r="C120" s="56" t="s">
        <v>139</v>
      </c>
      <c r="D120" s="56" t="s">
        <v>493</v>
      </c>
      <c r="E120" s="56">
        <v>1017891</v>
      </c>
      <c r="F120" s="56">
        <v>96</v>
      </c>
      <c r="G120" s="56">
        <v>10</v>
      </c>
      <c r="H120" s="56">
        <v>2</v>
      </c>
      <c r="I120" s="57" t="s">
        <v>87</v>
      </c>
      <c r="J120" s="57">
        <v>1</v>
      </c>
      <c r="K120" s="56">
        <v>9</v>
      </c>
      <c r="L120" s="183"/>
      <c r="M120" s="183">
        <v>418.33</v>
      </c>
      <c r="N120" s="60">
        <f t="shared" si="3"/>
        <v>43924.65</v>
      </c>
      <c r="O120" s="18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13" customFormat="1" ht="18" customHeight="1">
      <c r="A121" s="228" t="s">
        <v>8</v>
      </c>
      <c r="B121" s="56" t="s">
        <v>71</v>
      </c>
      <c r="C121" s="56" t="s">
        <v>139</v>
      </c>
      <c r="D121" s="56" t="s">
        <v>494</v>
      </c>
      <c r="E121" s="56">
        <v>1017891</v>
      </c>
      <c r="F121" s="56">
        <v>96</v>
      </c>
      <c r="G121" s="56">
        <v>10</v>
      </c>
      <c r="H121" s="56">
        <v>4</v>
      </c>
      <c r="I121" s="57" t="s">
        <v>200</v>
      </c>
      <c r="J121" s="57">
        <v>6</v>
      </c>
      <c r="K121" s="56">
        <v>126</v>
      </c>
      <c r="L121" s="183"/>
      <c r="M121" s="183">
        <v>357.9</v>
      </c>
      <c r="N121" s="60">
        <f t="shared" si="3"/>
        <v>37579.5</v>
      </c>
      <c r="O121" s="18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13" customFormat="1" ht="18" customHeight="1">
      <c r="A122" s="228" t="s">
        <v>8</v>
      </c>
      <c r="B122" s="56" t="s">
        <v>71</v>
      </c>
      <c r="C122" s="56" t="s">
        <v>139</v>
      </c>
      <c r="D122" s="56" t="s">
        <v>495</v>
      </c>
      <c r="E122" s="56">
        <v>1017891</v>
      </c>
      <c r="F122" s="56">
        <v>96</v>
      </c>
      <c r="G122" s="56">
        <v>10</v>
      </c>
      <c r="H122" s="56">
        <v>5</v>
      </c>
      <c r="I122" s="57" t="s">
        <v>74</v>
      </c>
      <c r="J122" s="57">
        <v>7</v>
      </c>
      <c r="K122" s="56">
        <v>26</v>
      </c>
      <c r="L122" s="183"/>
      <c r="M122" s="183">
        <v>60.43</v>
      </c>
      <c r="N122" s="60">
        <f t="shared" si="3"/>
        <v>6345.15</v>
      </c>
      <c r="O122" s="18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13" customFormat="1" ht="18" customHeight="1">
      <c r="A123" s="228" t="s">
        <v>8</v>
      </c>
      <c r="B123" s="56" t="s">
        <v>71</v>
      </c>
      <c r="C123" s="56" t="s">
        <v>139</v>
      </c>
      <c r="D123" s="56" t="s">
        <v>495</v>
      </c>
      <c r="E123" s="56">
        <v>1017891</v>
      </c>
      <c r="F123" s="56">
        <v>96</v>
      </c>
      <c r="G123" s="56">
        <v>10</v>
      </c>
      <c r="H123" s="56">
        <v>6</v>
      </c>
      <c r="I123" s="57" t="s">
        <v>74</v>
      </c>
      <c r="J123" s="57">
        <v>6</v>
      </c>
      <c r="K123" s="56">
        <v>81</v>
      </c>
      <c r="L123" s="183"/>
      <c r="M123" s="183">
        <v>158.97</v>
      </c>
      <c r="N123" s="60">
        <f t="shared" si="3"/>
        <v>16691.85</v>
      </c>
      <c r="O123" s="18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13" customFormat="1" ht="18" customHeight="1">
      <c r="A124" s="228" t="s">
        <v>8</v>
      </c>
      <c r="B124" s="56" t="s">
        <v>71</v>
      </c>
      <c r="C124" s="56" t="s">
        <v>139</v>
      </c>
      <c r="D124" s="56" t="s">
        <v>496</v>
      </c>
      <c r="E124" s="56">
        <v>1017891</v>
      </c>
      <c r="F124" s="56">
        <v>96</v>
      </c>
      <c r="G124" s="56">
        <v>10</v>
      </c>
      <c r="H124" s="56">
        <v>7</v>
      </c>
      <c r="I124" s="57" t="s">
        <v>200</v>
      </c>
      <c r="J124" s="57">
        <v>5</v>
      </c>
      <c r="K124" s="56">
        <v>390</v>
      </c>
      <c r="L124" s="183"/>
      <c r="M124" s="183">
        <v>946.67</v>
      </c>
      <c r="N124" s="60">
        <f t="shared" si="3"/>
        <v>99400.35</v>
      </c>
      <c r="O124" s="18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13" customFormat="1" ht="18" customHeight="1">
      <c r="A125" s="228" t="s">
        <v>8</v>
      </c>
      <c r="B125" s="56" t="s">
        <v>71</v>
      </c>
      <c r="C125" s="56" t="s">
        <v>139</v>
      </c>
      <c r="D125" s="56" t="s">
        <v>495</v>
      </c>
      <c r="E125" s="56">
        <v>1017891</v>
      </c>
      <c r="F125" s="56">
        <v>96</v>
      </c>
      <c r="G125" s="56">
        <v>10</v>
      </c>
      <c r="H125" s="56">
        <v>8</v>
      </c>
      <c r="I125" s="57" t="s">
        <v>74</v>
      </c>
      <c r="J125" s="57">
        <v>6</v>
      </c>
      <c r="K125" s="56">
        <v>95</v>
      </c>
      <c r="L125" s="183"/>
      <c r="M125" s="183">
        <v>186.44</v>
      </c>
      <c r="N125" s="60">
        <f t="shared" si="3"/>
        <v>19576.2</v>
      </c>
      <c r="O125" s="18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13" customFormat="1" ht="18" customHeight="1">
      <c r="A126" s="228" t="s">
        <v>8</v>
      </c>
      <c r="B126" s="56" t="s">
        <v>71</v>
      </c>
      <c r="C126" s="56" t="s">
        <v>139</v>
      </c>
      <c r="D126" s="56" t="s">
        <v>496</v>
      </c>
      <c r="E126" s="56">
        <v>1017891</v>
      </c>
      <c r="F126" s="56">
        <v>96</v>
      </c>
      <c r="G126" s="56">
        <v>10</v>
      </c>
      <c r="H126" s="56">
        <v>9</v>
      </c>
      <c r="I126" s="57" t="s">
        <v>74</v>
      </c>
      <c r="J126" s="57">
        <v>5</v>
      </c>
      <c r="K126" s="56">
        <v>116</v>
      </c>
      <c r="L126" s="183"/>
      <c r="M126" s="183">
        <v>191.71</v>
      </c>
      <c r="N126" s="60">
        <f t="shared" si="3"/>
        <v>20129.55</v>
      </c>
      <c r="O126" s="18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13" customFormat="1" ht="18" customHeight="1">
      <c r="A127" s="226" t="s">
        <v>8</v>
      </c>
      <c r="B127" s="80" t="s">
        <v>71</v>
      </c>
      <c r="C127" s="80" t="s">
        <v>139</v>
      </c>
      <c r="D127" s="80" t="s">
        <v>495</v>
      </c>
      <c r="E127" s="80">
        <v>1017891</v>
      </c>
      <c r="F127" s="80">
        <v>96</v>
      </c>
      <c r="G127" s="80">
        <v>10</v>
      </c>
      <c r="H127" s="80">
        <v>10</v>
      </c>
      <c r="I127" s="81" t="s">
        <v>200</v>
      </c>
      <c r="J127" s="81">
        <v>7</v>
      </c>
      <c r="K127" s="80">
        <v>32</v>
      </c>
      <c r="L127" s="139"/>
      <c r="M127" s="139">
        <v>105.77</v>
      </c>
      <c r="N127" s="84">
        <f t="shared" si="3"/>
        <v>11105.85</v>
      </c>
      <c r="O127" s="189">
        <f>1140000000/1936.27*1.0797</f>
        <v>635685.1058994873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13" customFormat="1" ht="18" customHeight="1">
      <c r="A128" s="227" t="s">
        <v>8</v>
      </c>
      <c r="B128" s="71" t="s">
        <v>71</v>
      </c>
      <c r="C128" s="71" t="s">
        <v>191</v>
      </c>
      <c r="D128" s="71" t="s">
        <v>192</v>
      </c>
      <c r="E128" s="71">
        <v>3140</v>
      </c>
      <c r="F128" s="71">
        <v>30</v>
      </c>
      <c r="G128" s="71">
        <v>3139</v>
      </c>
      <c r="H128" s="71">
        <v>6</v>
      </c>
      <c r="I128" s="72" t="s">
        <v>87</v>
      </c>
      <c r="J128" s="72">
        <v>4</v>
      </c>
      <c r="K128" s="71">
        <v>6</v>
      </c>
      <c r="L128" s="134"/>
      <c r="M128" s="134">
        <f>900000/1936.27</f>
        <v>464.81120918053784</v>
      </c>
      <c r="N128" s="75">
        <f t="shared" si="3"/>
        <v>48805.17696395647</v>
      </c>
      <c r="O128" s="117">
        <f>150000000/1936.27*1.0797</f>
        <v>83642.7770920378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13" customFormat="1" ht="18" customHeight="1">
      <c r="A129" s="225" t="s">
        <v>8</v>
      </c>
      <c r="B129" s="107" t="s">
        <v>71</v>
      </c>
      <c r="C129" s="107" t="s">
        <v>193</v>
      </c>
      <c r="D129" s="107" t="s">
        <v>194</v>
      </c>
      <c r="E129" s="107">
        <v>3140</v>
      </c>
      <c r="F129" s="107">
        <v>30</v>
      </c>
      <c r="G129" s="107">
        <v>2328</v>
      </c>
      <c r="H129" s="107">
        <v>1</v>
      </c>
      <c r="I129" s="109" t="s">
        <v>77</v>
      </c>
      <c r="J129" s="109">
        <v>1</v>
      </c>
      <c r="K129" s="107">
        <v>1</v>
      </c>
      <c r="L129" s="136"/>
      <c r="M129" s="136">
        <f>68000/1936.27</f>
        <v>35.11906913808508</v>
      </c>
      <c r="N129" s="112">
        <f t="shared" si="3"/>
        <v>3687.502259498933</v>
      </c>
      <c r="O129" s="180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13" customFormat="1" ht="18" customHeight="1">
      <c r="A130" s="226" t="s">
        <v>8</v>
      </c>
      <c r="B130" s="80" t="s">
        <v>71</v>
      </c>
      <c r="C130" s="80" t="s">
        <v>193</v>
      </c>
      <c r="D130" s="80" t="s">
        <v>195</v>
      </c>
      <c r="E130" s="80">
        <v>3140</v>
      </c>
      <c r="F130" s="80">
        <v>30</v>
      </c>
      <c r="G130" s="143" t="s">
        <v>196</v>
      </c>
      <c r="H130" s="80" t="s">
        <v>197</v>
      </c>
      <c r="I130" s="81" t="s">
        <v>77</v>
      </c>
      <c r="J130" s="81">
        <v>1</v>
      </c>
      <c r="K130" s="80">
        <v>1</v>
      </c>
      <c r="L130" s="139"/>
      <c r="M130" s="139">
        <f>68000/1936.27</f>
        <v>35.11906913808508</v>
      </c>
      <c r="N130" s="84">
        <f t="shared" si="3"/>
        <v>3687.502259498933</v>
      </c>
      <c r="O130" s="186">
        <f>21000000/1936.27*1.0797</f>
        <v>11709.988792885291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13" customFormat="1" ht="18" customHeight="1">
      <c r="A131" s="225" t="s">
        <v>8</v>
      </c>
      <c r="B131" s="107" t="s">
        <v>510</v>
      </c>
      <c r="C131" s="107" t="s">
        <v>538</v>
      </c>
      <c r="D131" s="107" t="s">
        <v>198</v>
      </c>
      <c r="E131" s="107">
        <v>4726</v>
      </c>
      <c r="F131" s="107">
        <v>37</v>
      </c>
      <c r="G131" s="107">
        <v>148</v>
      </c>
      <c r="H131" s="107">
        <v>1</v>
      </c>
      <c r="I131" s="109" t="s">
        <v>87</v>
      </c>
      <c r="J131" s="109">
        <v>2</v>
      </c>
      <c r="K131" s="107">
        <v>9.5</v>
      </c>
      <c r="L131" s="136"/>
      <c r="M131" s="136">
        <f>997500/1936.27</f>
        <v>515.1657568417628</v>
      </c>
      <c r="N131" s="112">
        <f t="shared" si="3"/>
        <v>54092.404468385095</v>
      </c>
      <c r="O131" s="180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13" customFormat="1" ht="18" customHeight="1">
      <c r="A132" s="228" t="s">
        <v>8</v>
      </c>
      <c r="B132" s="56" t="s">
        <v>510</v>
      </c>
      <c r="C132" s="56" t="s">
        <v>538</v>
      </c>
      <c r="D132" s="56" t="s">
        <v>198</v>
      </c>
      <c r="E132" s="56">
        <v>4726</v>
      </c>
      <c r="F132" s="56">
        <v>37</v>
      </c>
      <c r="G132" s="56">
        <v>148</v>
      </c>
      <c r="H132" s="56">
        <v>2</v>
      </c>
      <c r="I132" s="185" t="s">
        <v>199</v>
      </c>
      <c r="J132" s="57"/>
      <c r="K132" s="56">
        <v>60</v>
      </c>
      <c r="L132" s="183"/>
      <c r="M132" s="183">
        <v>0</v>
      </c>
      <c r="N132" s="184">
        <v>0</v>
      </c>
      <c r="O132" s="18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13" customFormat="1" ht="18" customHeight="1">
      <c r="A133" s="228" t="s">
        <v>8</v>
      </c>
      <c r="B133" s="56" t="s">
        <v>510</v>
      </c>
      <c r="C133" s="56" t="s">
        <v>538</v>
      </c>
      <c r="D133" s="56" t="s">
        <v>543</v>
      </c>
      <c r="E133" s="56">
        <v>4726</v>
      </c>
      <c r="F133" s="56">
        <v>37</v>
      </c>
      <c r="G133" s="56">
        <v>148</v>
      </c>
      <c r="H133" s="56">
        <v>3</v>
      </c>
      <c r="I133" s="57" t="s">
        <v>200</v>
      </c>
      <c r="J133" s="57">
        <v>7</v>
      </c>
      <c r="K133" s="56">
        <v>26</v>
      </c>
      <c r="L133" s="183"/>
      <c r="M133" s="183">
        <f>166400/1936.27</f>
        <v>85.93842800849055</v>
      </c>
      <c r="N133" s="60">
        <f>PRODUCT(M133*100)+(M133*100*5%)</f>
        <v>9023.534940891508</v>
      </c>
      <c r="O133" s="18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13" customFormat="1" ht="18" customHeight="1">
      <c r="A134" s="226" t="s">
        <v>25</v>
      </c>
      <c r="B134" s="80" t="s">
        <v>510</v>
      </c>
      <c r="C134" s="80" t="s">
        <v>538</v>
      </c>
      <c r="D134" s="80" t="s">
        <v>201</v>
      </c>
      <c r="E134" s="80">
        <v>16898</v>
      </c>
      <c r="F134" s="80">
        <v>37</v>
      </c>
      <c r="G134" s="80">
        <v>766</v>
      </c>
      <c r="H134" s="80"/>
      <c r="I134" s="81" t="s">
        <v>131</v>
      </c>
      <c r="J134" s="81">
        <v>3</v>
      </c>
      <c r="K134" s="80" t="s">
        <v>476</v>
      </c>
      <c r="L134" s="83">
        <v>2.9</v>
      </c>
      <c r="M134" s="83">
        <v>2.9</v>
      </c>
      <c r="N134" s="84">
        <f>PRODUCT(M134*75)+(M134*75*25%)</f>
        <v>271.875</v>
      </c>
      <c r="O134" s="186">
        <f>550000000/1936.27*1.0797</f>
        <v>306690.18267080525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13" customFormat="1" ht="18" customHeight="1">
      <c r="A135" s="225" t="s">
        <v>8</v>
      </c>
      <c r="B135" s="107" t="s">
        <v>510</v>
      </c>
      <c r="C135" s="107" t="s">
        <v>202</v>
      </c>
      <c r="D135" s="107" t="s">
        <v>539</v>
      </c>
      <c r="E135" s="107">
        <v>3140</v>
      </c>
      <c r="F135" s="107">
        <v>30</v>
      </c>
      <c r="G135" s="107">
        <v>1832</v>
      </c>
      <c r="H135" s="107">
        <v>3</v>
      </c>
      <c r="I135" s="109" t="s">
        <v>79</v>
      </c>
      <c r="J135" s="109" t="s">
        <v>23</v>
      </c>
      <c r="K135" s="107">
        <v>45670</v>
      </c>
      <c r="L135" s="142"/>
      <c r="M135" s="142">
        <v>42455.85</v>
      </c>
      <c r="N135" s="112">
        <f>PRODUCT(M135*100)+(M135*100*5%)</f>
        <v>4457864.25</v>
      </c>
      <c r="O135" s="180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13" customFormat="1" ht="18" customHeight="1">
      <c r="A136" s="228" t="s">
        <v>25</v>
      </c>
      <c r="B136" s="56" t="s">
        <v>510</v>
      </c>
      <c r="C136" s="56" t="s">
        <v>202</v>
      </c>
      <c r="D136" s="56" t="s">
        <v>539</v>
      </c>
      <c r="E136" s="56">
        <v>48183</v>
      </c>
      <c r="F136" s="56">
        <v>30</v>
      </c>
      <c r="G136" s="56">
        <v>3489</v>
      </c>
      <c r="H136" s="56"/>
      <c r="I136" s="185" t="s">
        <v>203</v>
      </c>
      <c r="J136" s="57">
        <v>3</v>
      </c>
      <c r="K136" s="56" t="s">
        <v>204</v>
      </c>
      <c r="L136" s="62">
        <v>0.52</v>
      </c>
      <c r="M136" s="62">
        <v>1.32</v>
      </c>
      <c r="N136" s="60">
        <f>PRODUCT(M136*75)+(M136*75*25%)</f>
        <v>123.75</v>
      </c>
      <c r="O136" s="18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18" customFormat="1" ht="18" customHeight="1">
      <c r="A137" s="226" t="s">
        <v>8</v>
      </c>
      <c r="B137" s="105" t="s">
        <v>9</v>
      </c>
      <c r="C137" s="105" t="s">
        <v>541</v>
      </c>
      <c r="D137" s="105"/>
      <c r="E137" s="105"/>
      <c r="F137" s="105">
        <v>30</v>
      </c>
      <c r="G137" s="105">
        <v>1832</v>
      </c>
      <c r="H137" s="105">
        <v>4</v>
      </c>
      <c r="I137" s="106" t="s">
        <v>90</v>
      </c>
      <c r="J137" s="106">
        <v>6</v>
      </c>
      <c r="K137" s="105">
        <v>52</v>
      </c>
      <c r="L137" s="114"/>
      <c r="M137" s="114">
        <v>1141.37</v>
      </c>
      <c r="N137" s="84">
        <f>PRODUCT(M137*34)+(M137*34*5%)</f>
        <v>40746.90899999999</v>
      </c>
      <c r="O137" s="149">
        <f>SUM(N135:N137)*5</f>
        <v>22493674.545</v>
      </c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s="18" customFormat="1" ht="18" customHeight="1">
      <c r="A138" s="227" t="s">
        <v>25</v>
      </c>
      <c r="B138" s="71" t="s">
        <v>510</v>
      </c>
      <c r="C138" s="100" t="s">
        <v>600</v>
      </c>
      <c r="D138" s="100" t="s">
        <v>205</v>
      </c>
      <c r="E138" s="100"/>
      <c r="F138" s="100">
        <v>113</v>
      </c>
      <c r="G138" s="100">
        <v>1160</v>
      </c>
      <c r="H138" s="100"/>
      <c r="I138" s="101"/>
      <c r="J138" s="101"/>
      <c r="K138" s="188" t="s">
        <v>206</v>
      </c>
      <c r="L138" s="88">
        <f>43920/1936.27</f>
        <v>22.682787008010248</v>
      </c>
      <c r="M138" s="88">
        <f>65880/1936.27</f>
        <v>34.02418051201537</v>
      </c>
      <c r="N138" s="75">
        <f>PRODUCT(M138*75)+(M138*75*25%)</f>
        <v>3189.766923001441</v>
      </c>
      <c r="O138" s="133">
        <f>PRODUCT(N138*5)</f>
        <v>15948.834615007203</v>
      </c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15" ht="12.75">
      <c r="A139" s="212" t="s">
        <v>537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43"/>
      <c r="N139" s="43"/>
      <c r="O139" s="219"/>
    </row>
    <row r="140" spans="1:36" ht="12.75">
      <c r="A140" s="160" t="s">
        <v>1</v>
      </c>
      <c r="B140" s="161" t="s">
        <v>479</v>
      </c>
      <c r="C140" s="161" t="s">
        <v>478</v>
      </c>
      <c r="D140" s="161" t="s">
        <v>477</v>
      </c>
      <c r="E140" s="161" t="s">
        <v>2</v>
      </c>
      <c r="F140" s="161" t="s">
        <v>3</v>
      </c>
      <c r="G140" s="162" t="s">
        <v>480</v>
      </c>
      <c r="H140" s="161" t="s">
        <v>4</v>
      </c>
      <c r="I140" s="160" t="s">
        <v>5</v>
      </c>
      <c r="J140" s="160" t="s">
        <v>6</v>
      </c>
      <c r="K140" s="160" t="s">
        <v>7</v>
      </c>
      <c r="L140" s="160" t="s">
        <v>455</v>
      </c>
      <c r="M140" s="163" t="s">
        <v>468</v>
      </c>
      <c r="N140" s="164" t="s">
        <v>508</v>
      </c>
      <c r="O140" s="165" t="s">
        <v>507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2.75">
      <c r="A141" s="166"/>
      <c r="B141" s="167"/>
      <c r="C141" s="167"/>
      <c r="D141" s="167"/>
      <c r="E141" s="166"/>
      <c r="F141" s="167"/>
      <c r="G141" s="168"/>
      <c r="H141" s="167"/>
      <c r="I141" s="166"/>
      <c r="J141" s="166"/>
      <c r="K141" s="166"/>
      <c r="L141" s="167" t="s">
        <v>509</v>
      </c>
      <c r="M141" s="169" t="s">
        <v>509</v>
      </c>
      <c r="N141" s="170" t="s">
        <v>509</v>
      </c>
      <c r="O141" s="171" t="s">
        <v>513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13" customFormat="1" ht="18" customHeight="1">
      <c r="A142" s="225" t="s">
        <v>25</v>
      </c>
      <c r="B142" s="107" t="s">
        <v>20</v>
      </c>
      <c r="C142" s="107" t="s">
        <v>153</v>
      </c>
      <c r="D142" s="107" t="s">
        <v>154</v>
      </c>
      <c r="E142" s="107">
        <v>48183</v>
      </c>
      <c r="F142" s="107">
        <v>75</v>
      </c>
      <c r="G142" s="107">
        <v>46</v>
      </c>
      <c r="H142" s="107"/>
      <c r="I142" s="107" t="s">
        <v>57</v>
      </c>
      <c r="J142" s="109">
        <v>4</v>
      </c>
      <c r="K142" s="107" t="s">
        <v>155</v>
      </c>
      <c r="L142" s="150">
        <v>1.7</v>
      </c>
      <c r="M142" s="150">
        <v>2.16</v>
      </c>
      <c r="N142" s="112">
        <f aca="true" t="shared" si="4" ref="N142:N166">PRODUCT(M142*75)+(M142*75*25%)</f>
        <v>202.5</v>
      </c>
      <c r="O142" s="19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13" customFormat="1" ht="18" customHeight="1">
      <c r="A143" s="228" t="s">
        <v>25</v>
      </c>
      <c r="B143" s="56" t="s">
        <v>20</v>
      </c>
      <c r="C143" s="56" t="s">
        <v>156</v>
      </c>
      <c r="D143" s="56" t="s">
        <v>154</v>
      </c>
      <c r="E143" s="56">
        <v>48183</v>
      </c>
      <c r="F143" s="56">
        <v>86</v>
      </c>
      <c r="G143" s="56">
        <v>14</v>
      </c>
      <c r="H143" s="56"/>
      <c r="I143" s="56" t="s">
        <v>57</v>
      </c>
      <c r="J143" s="57">
        <v>2</v>
      </c>
      <c r="K143" s="56" t="s">
        <v>157</v>
      </c>
      <c r="L143" s="62">
        <v>144.35</v>
      </c>
      <c r="M143" s="62">
        <v>244.28</v>
      </c>
      <c r="N143" s="60">
        <f t="shared" si="4"/>
        <v>22901.25</v>
      </c>
      <c r="O143" s="18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13" customFormat="1" ht="18" customHeight="1">
      <c r="A144" s="228" t="s">
        <v>25</v>
      </c>
      <c r="B144" s="56" t="s">
        <v>20</v>
      </c>
      <c r="C144" s="56" t="s">
        <v>156</v>
      </c>
      <c r="D144" s="56" t="s">
        <v>154</v>
      </c>
      <c r="E144" s="56">
        <v>48183</v>
      </c>
      <c r="F144" s="56">
        <v>86</v>
      </c>
      <c r="G144" s="56">
        <v>19</v>
      </c>
      <c r="H144" s="56"/>
      <c r="I144" s="56" t="s">
        <v>57</v>
      </c>
      <c r="J144" s="57">
        <v>3</v>
      </c>
      <c r="K144" s="56" t="s">
        <v>158</v>
      </c>
      <c r="L144" s="62">
        <v>81.32</v>
      </c>
      <c r="M144" s="62">
        <v>128.76</v>
      </c>
      <c r="N144" s="60">
        <f t="shared" si="4"/>
        <v>12071.25</v>
      </c>
      <c r="O144" s="18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13" customFormat="1" ht="18" customHeight="1">
      <c r="A145" s="228" t="s">
        <v>25</v>
      </c>
      <c r="B145" s="56" t="s">
        <v>20</v>
      </c>
      <c r="C145" s="56" t="s">
        <v>156</v>
      </c>
      <c r="D145" s="56" t="s">
        <v>154</v>
      </c>
      <c r="E145" s="56">
        <v>48183</v>
      </c>
      <c r="F145" s="56">
        <v>86</v>
      </c>
      <c r="G145" s="56">
        <v>24</v>
      </c>
      <c r="H145" s="56"/>
      <c r="I145" s="56" t="s">
        <v>57</v>
      </c>
      <c r="J145" s="57">
        <v>3</v>
      </c>
      <c r="K145" s="56" t="s">
        <v>159</v>
      </c>
      <c r="L145" s="62">
        <v>92.62</v>
      </c>
      <c r="M145" s="62">
        <v>146.65</v>
      </c>
      <c r="N145" s="60">
        <f t="shared" si="4"/>
        <v>13748.4375</v>
      </c>
      <c r="O145" s="18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13" customFormat="1" ht="18" customHeight="1">
      <c r="A146" s="228" t="s">
        <v>25</v>
      </c>
      <c r="B146" s="56" t="s">
        <v>20</v>
      </c>
      <c r="C146" s="56" t="s">
        <v>156</v>
      </c>
      <c r="D146" s="56" t="s">
        <v>154</v>
      </c>
      <c r="E146" s="56">
        <v>48183</v>
      </c>
      <c r="F146" s="56">
        <v>86</v>
      </c>
      <c r="G146" s="56">
        <v>37</v>
      </c>
      <c r="H146" s="56"/>
      <c r="I146" s="56" t="s">
        <v>57</v>
      </c>
      <c r="J146" s="57">
        <v>4</v>
      </c>
      <c r="K146" s="56" t="s">
        <v>160</v>
      </c>
      <c r="L146" s="62">
        <v>72.61</v>
      </c>
      <c r="M146" s="62">
        <v>92.41</v>
      </c>
      <c r="N146" s="60">
        <f t="shared" si="4"/>
        <v>8663.4375</v>
      </c>
      <c r="O146" s="18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13" customFormat="1" ht="18" customHeight="1">
      <c r="A147" s="228" t="s">
        <v>25</v>
      </c>
      <c r="B147" s="56" t="s">
        <v>20</v>
      </c>
      <c r="C147" s="56" t="s">
        <v>156</v>
      </c>
      <c r="D147" s="56" t="s">
        <v>154</v>
      </c>
      <c r="E147" s="56">
        <v>48183</v>
      </c>
      <c r="F147" s="56">
        <v>86</v>
      </c>
      <c r="G147" s="56">
        <v>48</v>
      </c>
      <c r="H147" s="56"/>
      <c r="I147" s="56" t="s">
        <v>57</v>
      </c>
      <c r="J147" s="57">
        <v>3</v>
      </c>
      <c r="K147" s="56" t="s">
        <v>161</v>
      </c>
      <c r="L147" s="62">
        <v>152.37</v>
      </c>
      <c r="M147" s="62">
        <v>241.26</v>
      </c>
      <c r="N147" s="60">
        <f t="shared" si="4"/>
        <v>22618.125</v>
      </c>
      <c r="O147" s="18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13" customFormat="1" ht="18" customHeight="1">
      <c r="A148" s="228" t="s">
        <v>25</v>
      </c>
      <c r="B148" s="56" t="s">
        <v>20</v>
      </c>
      <c r="C148" s="56" t="s">
        <v>156</v>
      </c>
      <c r="D148" s="56" t="s">
        <v>154</v>
      </c>
      <c r="E148" s="56">
        <v>48183</v>
      </c>
      <c r="F148" s="56">
        <v>86</v>
      </c>
      <c r="G148" s="56">
        <v>51</v>
      </c>
      <c r="H148" s="56"/>
      <c r="I148" s="56" t="s">
        <v>57</v>
      </c>
      <c r="J148" s="57">
        <v>4</v>
      </c>
      <c r="K148" s="56" t="s">
        <v>162</v>
      </c>
      <c r="L148" s="62">
        <v>125.78</v>
      </c>
      <c r="M148" s="62">
        <v>160.08</v>
      </c>
      <c r="N148" s="60">
        <f t="shared" si="4"/>
        <v>15007.500000000002</v>
      </c>
      <c r="O148" s="18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13" customFormat="1" ht="18" customHeight="1">
      <c r="A149" s="228" t="s">
        <v>25</v>
      </c>
      <c r="B149" s="56" t="s">
        <v>20</v>
      </c>
      <c r="C149" s="56" t="s">
        <v>156</v>
      </c>
      <c r="D149" s="56" t="s">
        <v>154</v>
      </c>
      <c r="E149" s="56">
        <v>48183</v>
      </c>
      <c r="F149" s="56">
        <v>86</v>
      </c>
      <c r="G149" s="56">
        <v>63</v>
      </c>
      <c r="H149" s="56"/>
      <c r="I149" s="56" t="s">
        <v>57</v>
      </c>
      <c r="J149" s="57">
        <v>3</v>
      </c>
      <c r="K149" s="56" t="s">
        <v>163</v>
      </c>
      <c r="L149" s="62">
        <v>92.41</v>
      </c>
      <c r="M149" s="62">
        <v>146.31</v>
      </c>
      <c r="N149" s="60">
        <f t="shared" si="4"/>
        <v>13716.5625</v>
      </c>
      <c r="O149" s="18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13" customFormat="1" ht="18" customHeight="1">
      <c r="A150" s="228" t="s">
        <v>25</v>
      </c>
      <c r="B150" s="56" t="s">
        <v>20</v>
      </c>
      <c r="C150" s="56" t="s">
        <v>156</v>
      </c>
      <c r="D150" s="56" t="s">
        <v>154</v>
      </c>
      <c r="E150" s="56">
        <v>48183</v>
      </c>
      <c r="F150" s="56">
        <v>86</v>
      </c>
      <c r="G150" s="56">
        <v>68</v>
      </c>
      <c r="H150" s="56"/>
      <c r="I150" s="56" t="s">
        <v>57</v>
      </c>
      <c r="J150" s="57">
        <v>4</v>
      </c>
      <c r="K150" s="56" t="s">
        <v>164</v>
      </c>
      <c r="L150" s="62">
        <v>172.74</v>
      </c>
      <c r="M150" s="62">
        <v>219.85</v>
      </c>
      <c r="N150" s="60">
        <f t="shared" si="4"/>
        <v>20610.9375</v>
      </c>
      <c r="O150" s="18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13" customFormat="1" ht="18" customHeight="1">
      <c r="A151" s="228" t="s">
        <v>25</v>
      </c>
      <c r="B151" s="56" t="s">
        <v>20</v>
      </c>
      <c r="C151" s="56" t="s">
        <v>156</v>
      </c>
      <c r="D151" s="56" t="s">
        <v>154</v>
      </c>
      <c r="E151" s="56">
        <v>48183</v>
      </c>
      <c r="F151" s="56">
        <v>86</v>
      </c>
      <c r="G151" s="56">
        <v>72</v>
      </c>
      <c r="H151" s="56"/>
      <c r="I151" s="56" t="s">
        <v>57</v>
      </c>
      <c r="J151" s="57">
        <v>3</v>
      </c>
      <c r="K151" s="56" t="s">
        <v>165</v>
      </c>
      <c r="L151" s="62">
        <v>287.53</v>
      </c>
      <c r="M151" s="62">
        <v>455.26</v>
      </c>
      <c r="N151" s="60">
        <f t="shared" si="4"/>
        <v>42680.625</v>
      </c>
      <c r="O151" s="18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13" customFormat="1" ht="18" customHeight="1">
      <c r="A152" s="228" t="s">
        <v>25</v>
      </c>
      <c r="B152" s="56" t="s">
        <v>20</v>
      </c>
      <c r="C152" s="56" t="s">
        <v>156</v>
      </c>
      <c r="D152" s="56" t="s">
        <v>154</v>
      </c>
      <c r="E152" s="56">
        <v>48183</v>
      </c>
      <c r="F152" s="56">
        <v>86</v>
      </c>
      <c r="G152" s="56">
        <v>75</v>
      </c>
      <c r="H152" s="56"/>
      <c r="I152" s="56" t="s">
        <v>57</v>
      </c>
      <c r="J152" s="57">
        <v>3</v>
      </c>
      <c r="K152" s="56" t="s">
        <v>166</v>
      </c>
      <c r="L152" s="62">
        <v>181.73</v>
      </c>
      <c r="M152" s="62">
        <v>287.74</v>
      </c>
      <c r="N152" s="60">
        <f t="shared" si="4"/>
        <v>26975.625</v>
      </c>
      <c r="O152" s="18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13" customFormat="1" ht="18" customHeight="1">
      <c r="A153" s="228" t="s">
        <v>25</v>
      </c>
      <c r="B153" s="56" t="s">
        <v>20</v>
      </c>
      <c r="C153" s="56" t="s">
        <v>156</v>
      </c>
      <c r="D153" s="56" t="s">
        <v>154</v>
      </c>
      <c r="E153" s="56">
        <v>48183</v>
      </c>
      <c r="F153" s="56">
        <v>86</v>
      </c>
      <c r="G153" s="56">
        <v>76</v>
      </c>
      <c r="H153" s="56"/>
      <c r="I153" s="56" t="s">
        <v>57</v>
      </c>
      <c r="J153" s="57">
        <v>3</v>
      </c>
      <c r="K153" s="56" t="s">
        <v>167</v>
      </c>
      <c r="L153" s="62">
        <v>108</v>
      </c>
      <c r="M153" s="62">
        <v>171</v>
      </c>
      <c r="N153" s="60">
        <f t="shared" si="4"/>
        <v>16031.25</v>
      </c>
      <c r="O153" s="18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13" customFormat="1" ht="18" customHeight="1">
      <c r="A154" s="228" t="s">
        <v>25</v>
      </c>
      <c r="B154" s="56" t="s">
        <v>20</v>
      </c>
      <c r="C154" s="56" t="s">
        <v>156</v>
      </c>
      <c r="D154" s="56" t="s">
        <v>154</v>
      </c>
      <c r="E154" s="56">
        <v>48183</v>
      </c>
      <c r="F154" s="56">
        <v>86</v>
      </c>
      <c r="G154" s="56">
        <v>77</v>
      </c>
      <c r="H154" s="56"/>
      <c r="I154" s="56" t="s">
        <v>117</v>
      </c>
      <c r="J154" s="57"/>
      <c r="K154" s="56" t="s">
        <v>168</v>
      </c>
      <c r="L154" s="62">
        <v>0</v>
      </c>
      <c r="M154" s="62">
        <v>0</v>
      </c>
      <c r="N154" s="60">
        <f t="shared" si="4"/>
        <v>0</v>
      </c>
      <c r="O154" s="18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13" customFormat="1" ht="18" customHeight="1">
      <c r="A155" s="228" t="s">
        <v>25</v>
      </c>
      <c r="B155" s="56" t="s">
        <v>20</v>
      </c>
      <c r="C155" s="56" t="s">
        <v>156</v>
      </c>
      <c r="D155" s="56" t="s">
        <v>154</v>
      </c>
      <c r="E155" s="56">
        <v>48183</v>
      </c>
      <c r="F155" s="56">
        <v>86</v>
      </c>
      <c r="G155" s="56">
        <v>79</v>
      </c>
      <c r="H155" s="56"/>
      <c r="I155" s="56" t="s">
        <v>140</v>
      </c>
      <c r="J155" s="57">
        <v>3</v>
      </c>
      <c r="K155" s="56" t="s">
        <v>169</v>
      </c>
      <c r="L155" s="62">
        <v>55.6</v>
      </c>
      <c r="M155" s="62">
        <v>82.51</v>
      </c>
      <c r="N155" s="60">
        <f t="shared" si="4"/>
        <v>7735.3125</v>
      </c>
      <c r="O155" s="18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13" customFormat="1" ht="18" customHeight="1">
      <c r="A156" s="228" t="s">
        <v>25</v>
      </c>
      <c r="B156" s="56" t="s">
        <v>20</v>
      </c>
      <c r="C156" s="56" t="s">
        <v>156</v>
      </c>
      <c r="D156" s="56" t="s">
        <v>154</v>
      </c>
      <c r="E156" s="56">
        <v>48183</v>
      </c>
      <c r="F156" s="56">
        <v>86</v>
      </c>
      <c r="G156" s="56">
        <v>80</v>
      </c>
      <c r="H156" s="56"/>
      <c r="I156" s="56" t="s">
        <v>57</v>
      </c>
      <c r="J156" s="57">
        <v>4</v>
      </c>
      <c r="K156" s="56" t="s">
        <v>170</v>
      </c>
      <c r="L156" s="62">
        <v>237.71</v>
      </c>
      <c r="M156" s="62">
        <v>302.55</v>
      </c>
      <c r="N156" s="60">
        <f t="shared" si="4"/>
        <v>28364.0625</v>
      </c>
      <c r="O156" s="18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13" customFormat="1" ht="18" customHeight="1">
      <c r="A157" s="228" t="s">
        <v>25</v>
      </c>
      <c r="B157" s="56" t="s">
        <v>20</v>
      </c>
      <c r="C157" s="56" t="s">
        <v>156</v>
      </c>
      <c r="D157" s="56" t="s">
        <v>154</v>
      </c>
      <c r="E157" s="56">
        <v>48183</v>
      </c>
      <c r="F157" s="56">
        <v>86</v>
      </c>
      <c r="G157" s="56">
        <v>82</v>
      </c>
      <c r="H157" s="56"/>
      <c r="I157" s="56" t="s">
        <v>57</v>
      </c>
      <c r="J157" s="57">
        <v>3</v>
      </c>
      <c r="K157" s="56" t="s">
        <v>171</v>
      </c>
      <c r="L157" s="62">
        <v>87.11</v>
      </c>
      <c r="M157" s="62">
        <v>137.92</v>
      </c>
      <c r="N157" s="60">
        <f t="shared" si="4"/>
        <v>12929.999999999998</v>
      </c>
      <c r="O157" s="18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13" customFormat="1" ht="18" customHeight="1">
      <c r="A158" s="228" t="s">
        <v>25</v>
      </c>
      <c r="B158" s="56" t="s">
        <v>20</v>
      </c>
      <c r="C158" s="56" t="s">
        <v>156</v>
      </c>
      <c r="D158" s="56" t="s">
        <v>154</v>
      </c>
      <c r="E158" s="56">
        <v>48183</v>
      </c>
      <c r="F158" s="56">
        <v>86</v>
      </c>
      <c r="G158" s="56">
        <v>84</v>
      </c>
      <c r="H158" s="56"/>
      <c r="I158" s="56" t="s">
        <v>57</v>
      </c>
      <c r="J158" s="57">
        <v>3</v>
      </c>
      <c r="K158" s="56" t="s">
        <v>475</v>
      </c>
      <c r="L158" s="62">
        <v>29.95</v>
      </c>
      <c r="M158" s="62">
        <v>47.41</v>
      </c>
      <c r="N158" s="60">
        <f t="shared" si="4"/>
        <v>4444.687499999999</v>
      </c>
      <c r="O158" s="18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13" customFormat="1" ht="18" customHeight="1">
      <c r="A159" s="228" t="s">
        <v>25</v>
      </c>
      <c r="B159" s="56" t="s">
        <v>20</v>
      </c>
      <c r="C159" s="56" t="s">
        <v>156</v>
      </c>
      <c r="D159" s="56" t="s">
        <v>154</v>
      </c>
      <c r="E159" s="56">
        <v>48183</v>
      </c>
      <c r="F159" s="56">
        <v>86</v>
      </c>
      <c r="G159" s="56">
        <v>120</v>
      </c>
      <c r="H159" s="56"/>
      <c r="I159" s="56" t="s">
        <v>172</v>
      </c>
      <c r="J159" s="57">
        <v>3</v>
      </c>
      <c r="K159" s="56" t="s">
        <v>173</v>
      </c>
      <c r="L159" s="62">
        <v>26.27</v>
      </c>
      <c r="M159" s="62">
        <v>35.03</v>
      </c>
      <c r="N159" s="60">
        <f t="shared" si="4"/>
        <v>3284.0625</v>
      </c>
      <c r="O159" s="18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13" customFormat="1" ht="18" customHeight="1">
      <c r="A160" s="228" t="s">
        <v>25</v>
      </c>
      <c r="B160" s="56" t="s">
        <v>20</v>
      </c>
      <c r="C160" s="56" t="s">
        <v>156</v>
      </c>
      <c r="D160" s="56" t="s">
        <v>154</v>
      </c>
      <c r="E160" s="56">
        <v>48183</v>
      </c>
      <c r="F160" s="56">
        <v>86</v>
      </c>
      <c r="G160" s="56">
        <v>122</v>
      </c>
      <c r="H160" s="56"/>
      <c r="I160" s="56" t="s">
        <v>540</v>
      </c>
      <c r="J160" s="57"/>
      <c r="K160" s="56" t="s">
        <v>175</v>
      </c>
      <c r="L160" s="62">
        <v>0</v>
      </c>
      <c r="M160" s="62">
        <v>0</v>
      </c>
      <c r="N160" s="60">
        <f t="shared" si="4"/>
        <v>0</v>
      </c>
      <c r="O160" s="18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16" customFormat="1" ht="18" customHeight="1">
      <c r="A161" s="228" t="s">
        <v>43</v>
      </c>
      <c r="B161" s="56" t="s">
        <v>20</v>
      </c>
      <c r="C161" s="56" t="s">
        <v>156</v>
      </c>
      <c r="D161" s="56" t="s">
        <v>154</v>
      </c>
      <c r="E161" s="56">
        <v>48183</v>
      </c>
      <c r="F161" s="56">
        <v>87</v>
      </c>
      <c r="G161" s="56">
        <v>4</v>
      </c>
      <c r="H161" s="56"/>
      <c r="I161" s="56" t="s">
        <v>145</v>
      </c>
      <c r="J161" s="57">
        <v>3</v>
      </c>
      <c r="K161" s="56" t="s">
        <v>176</v>
      </c>
      <c r="L161" s="62">
        <v>16.26</v>
      </c>
      <c r="M161" s="62">
        <v>24.39</v>
      </c>
      <c r="N161" s="60">
        <f t="shared" si="4"/>
        <v>2286.5625</v>
      </c>
      <c r="O161" s="18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13" customFormat="1" ht="18" customHeight="1">
      <c r="A162" s="228" t="s">
        <v>43</v>
      </c>
      <c r="B162" s="56" t="s">
        <v>20</v>
      </c>
      <c r="C162" s="56" t="s">
        <v>156</v>
      </c>
      <c r="D162" s="56" t="s">
        <v>154</v>
      </c>
      <c r="E162" s="56">
        <v>48183</v>
      </c>
      <c r="F162" s="56">
        <v>90</v>
      </c>
      <c r="G162" s="56">
        <v>1</v>
      </c>
      <c r="H162" s="56"/>
      <c r="I162" s="56" t="s">
        <v>46</v>
      </c>
      <c r="J162" s="57">
        <v>2</v>
      </c>
      <c r="K162" s="56" t="s">
        <v>177</v>
      </c>
      <c r="L162" s="62">
        <v>47.28</v>
      </c>
      <c r="M162" s="62">
        <v>80.38</v>
      </c>
      <c r="N162" s="60">
        <f t="shared" si="4"/>
        <v>7535.625</v>
      </c>
      <c r="O162" s="18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13" customFormat="1" ht="18" customHeight="1">
      <c r="A163" s="228" t="s">
        <v>25</v>
      </c>
      <c r="B163" s="56" t="s">
        <v>20</v>
      </c>
      <c r="C163" s="56" t="s">
        <v>156</v>
      </c>
      <c r="D163" s="56" t="s">
        <v>154</v>
      </c>
      <c r="E163" s="56">
        <v>48183</v>
      </c>
      <c r="F163" s="56">
        <v>90</v>
      </c>
      <c r="G163" s="56">
        <v>2</v>
      </c>
      <c r="H163" s="56"/>
      <c r="I163" s="56" t="s">
        <v>46</v>
      </c>
      <c r="J163" s="57">
        <v>2</v>
      </c>
      <c r="K163" s="56" t="s">
        <v>178</v>
      </c>
      <c r="L163" s="62">
        <v>154.72</v>
      </c>
      <c r="M163" s="62">
        <v>263.02</v>
      </c>
      <c r="N163" s="60">
        <f t="shared" si="4"/>
        <v>24658.125</v>
      </c>
      <c r="O163" s="18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13" customFormat="1" ht="18" customHeight="1">
      <c r="A164" s="228" t="s">
        <v>25</v>
      </c>
      <c r="B164" s="56" t="s">
        <v>20</v>
      </c>
      <c r="C164" s="56" t="s">
        <v>156</v>
      </c>
      <c r="D164" s="56" t="s">
        <v>154</v>
      </c>
      <c r="E164" s="56">
        <v>48183</v>
      </c>
      <c r="F164" s="56">
        <v>90</v>
      </c>
      <c r="G164" s="56">
        <v>3</v>
      </c>
      <c r="H164" s="56"/>
      <c r="I164" s="56" t="s">
        <v>117</v>
      </c>
      <c r="J164" s="57"/>
      <c r="K164" s="56" t="s">
        <v>179</v>
      </c>
      <c r="L164" s="62">
        <v>0</v>
      </c>
      <c r="M164" s="62">
        <v>0</v>
      </c>
      <c r="N164" s="60">
        <f t="shared" si="4"/>
        <v>0</v>
      </c>
      <c r="O164" s="18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13" customFormat="1" ht="18" customHeight="1">
      <c r="A165" s="228" t="s">
        <v>25</v>
      </c>
      <c r="B165" s="56" t="s">
        <v>20</v>
      </c>
      <c r="C165" s="56" t="s">
        <v>156</v>
      </c>
      <c r="D165" s="56" t="s">
        <v>154</v>
      </c>
      <c r="E165" s="56">
        <v>48183</v>
      </c>
      <c r="F165" s="56">
        <v>90</v>
      </c>
      <c r="G165" s="56">
        <v>4</v>
      </c>
      <c r="H165" s="56"/>
      <c r="I165" s="56" t="s">
        <v>57</v>
      </c>
      <c r="J165" s="57">
        <v>3</v>
      </c>
      <c r="K165" s="56" t="s">
        <v>180</v>
      </c>
      <c r="L165" s="62">
        <v>275.63</v>
      </c>
      <c r="M165" s="62">
        <v>436.42</v>
      </c>
      <c r="N165" s="60">
        <f t="shared" si="4"/>
        <v>40914.375</v>
      </c>
      <c r="O165" s="18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13" customFormat="1" ht="18" customHeight="1">
      <c r="A166" s="228" t="s">
        <v>25</v>
      </c>
      <c r="B166" s="56" t="s">
        <v>20</v>
      </c>
      <c r="C166" s="56" t="s">
        <v>156</v>
      </c>
      <c r="D166" s="56" t="s">
        <v>154</v>
      </c>
      <c r="E166" s="56">
        <v>48183</v>
      </c>
      <c r="F166" s="56">
        <v>90</v>
      </c>
      <c r="G166" s="56">
        <v>5</v>
      </c>
      <c r="H166" s="56"/>
      <c r="I166" s="56" t="s">
        <v>57</v>
      </c>
      <c r="J166" s="57">
        <v>5</v>
      </c>
      <c r="K166" s="56" t="s">
        <v>181</v>
      </c>
      <c r="L166" s="62">
        <v>11.5</v>
      </c>
      <c r="M166" s="62">
        <v>11.5</v>
      </c>
      <c r="N166" s="60">
        <f t="shared" si="4"/>
        <v>1078.125</v>
      </c>
      <c r="O166" s="18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13" customFormat="1" ht="18" customHeight="1">
      <c r="A167" s="228" t="s">
        <v>25</v>
      </c>
      <c r="B167" s="56" t="s">
        <v>20</v>
      </c>
      <c r="C167" s="56" t="s">
        <v>156</v>
      </c>
      <c r="D167" s="56" t="s">
        <v>154</v>
      </c>
      <c r="E167" s="56">
        <v>48183</v>
      </c>
      <c r="F167" s="56">
        <v>90</v>
      </c>
      <c r="G167" s="56">
        <v>8</v>
      </c>
      <c r="H167" s="56"/>
      <c r="I167" s="56" t="s">
        <v>63</v>
      </c>
      <c r="J167" s="57">
        <v>1</v>
      </c>
      <c r="K167" s="56" t="s">
        <v>182</v>
      </c>
      <c r="L167" s="62">
        <v>34.22</v>
      </c>
      <c r="M167" s="62">
        <v>85.54</v>
      </c>
      <c r="N167" s="60">
        <f aca="true" t="shared" si="5" ref="N167:N175">PRODUCT(M167*75)+(M167*75*25%)</f>
        <v>8019.375000000001</v>
      </c>
      <c r="O167" s="18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13" customFormat="1" ht="18" customHeight="1">
      <c r="A168" s="228" t="s">
        <v>25</v>
      </c>
      <c r="B168" s="56" t="s">
        <v>20</v>
      </c>
      <c r="C168" s="56" t="s">
        <v>156</v>
      </c>
      <c r="D168" s="56" t="s">
        <v>154</v>
      </c>
      <c r="E168" s="56">
        <v>48183</v>
      </c>
      <c r="F168" s="56">
        <v>90</v>
      </c>
      <c r="G168" s="56">
        <v>10</v>
      </c>
      <c r="H168" s="56"/>
      <c r="I168" s="56" t="s">
        <v>145</v>
      </c>
      <c r="J168" s="57">
        <v>3</v>
      </c>
      <c r="K168" s="56" t="s">
        <v>183</v>
      </c>
      <c r="L168" s="62">
        <v>17.72</v>
      </c>
      <c r="M168" s="62">
        <v>26.58</v>
      </c>
      <c r="N168" s="60">
        <f t="shared" si="5"/>
        <v>2491.8749999999995</v>
      </c>
      <c r="O168" s="18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13" customFormat="1" ht="18" customHeight="1">
      <c r="A169" s="228" t="s">
        <v>25</v>
      </c>
      <c r="B169" s="56" t="s">
        <v>20</v>
      </c>
      <c r="C169" s="56" t="s">
        <v>156</v>
      </c>
      <c r="D169" s="56" t="s">
        <v>154</v>
      </c>
      <c r="E169" s="56">
        <v>48183</v>
      </c>
      <c r="F169" s="56">
        <v>90</v>
      </c>
      <c r="G169" s="56">
        <v>21</v>
      </c>
      <c r="H169" s="56"/>
      <c r="I169" s="56" t="s">
        <v>57</v>
      </c>
      <c r="J169" s="57">
        <v>4</v>
      </c>
      <c r="K169" s="56" t="s">
        <v>184</v>
      </c>
      <c r="L169" s="62">
        <v>109.87</v>
      </c>
      <c r="M169" s="62">
        <v>139.84</v>
      </c>
      <c r="N169" s="60">
        <f t="shared" si="5"/>
        <v>13110</v>
      </c>
      <c r="O169" s="18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13" customFormat="1" ht="18" customHeight="1">
      <c r="A170" s="228" t="s">
        <v>25</v>
      </c>
      <c r="B170" s="56" t="s">
        <v>20</v>
      </c>
      <c r="C170" s="56" t="s">
        <v>156</v>
      </c>
      <c r="D170" s="56" t="s">
        <v>154</v>
      </c>
      <c r="E170" s="56">
        <v>48183</v>
      </c>
      <c r="F170" s="56">
        <v>90</v>
      </c>
      <c r="G170" s="56">
        <v>49</v>
      </c>
      <c r="H170" s="56"/>
      <c r="I170" s="56" t="s">
        <v>46</v>
      </c>
      <c r="J170" s="57">
        <v>3</v>
      </c>
      <c r="K170" s="56" t="s">
        <v>185</v>
      </c>
      <c r="L170" s="62">
        <v>65.35</v>
      </c>
      <c r="M170" s="62">
        <v>81.69</v>
      </c>
      <c r="N170" s="60">
        <f t="shared" si="5"/>
        <v>7658.4375</v>
      </c>
      <c r="O170" s="18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13" customFormat="1" ht="18" customHeight="1">
      <c r="A171" s="228" t="s">
        <v>25</v>
      </c>
      <c r="B171" s="56" t="s">
        <v>20</v>
      </c>
      <c r="C171" s="56" t="s">
        <v>156</v>
      </c>
      <c r="D171" s="56" t="s">
        <v>154</v>
      </c>
      <c r="E171" s="56">
        <v>48183</v>
      </c>
      <c r="F171" s="56">
        <v>90</v>
      </c>
      <c r="G171" s="56">
        <v>56</v>
      </c>
      <c r="H171" s="56"/>
      <c r="I171" s="56" t="s">
        <v>63</v>
      </c>
      <c r="J171" s="57">
        <v>2</v>
      </c>
      <c r="K171" s="56" t="s">
        <v>179</v>
      </c>
      <c r="L171" s="62">
        <v>0.02</v>
      </c>
      <c r="M171" s="62">
        <v>0.05</v>
      </c>
      <c r="N171" s="60">
        <f t="shared" si="5"/>
        <v>4.6875</v>
      </c>
      <c r="O171" s="18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13" customFormat="1" ht="18" customHeight="1">
      <c r="A172" s="228" t="s">
        <v>25</v>
      </c>
      <c r="B172" s="56" t="s">
        <v>20</v>
      </c>
      <c r="C172" s="56" t="s">
        <v>156</v>
      </c>
      <c r="D172" s="56" t="s">
        <v>154</v>
      </c>
      <c r="E172" s="56">
        <v>48183</v>
      </c>
      <c r="F172" s="56">
        <v>91</v>
      </c>
      <c r="G172" s="56">
        <v>4</v>
      </c>
      <c r="H172" s="56"/>
      <c r="I172" s="56" t="s">
        <v>46</v>
      </c>
      <c r="J172" s="57">
        <v>5</v>
      </c>
      <c r="K172" s="56" t="s">
        <v>186</v>
      </c>
      <c r="L172" s="62">
        <v>30.09</v>
      </c>
      <c r="M172" s="62">
        <v>21.49</v>
      </c>
      <c r="N172" s="60">
        <f t="shared" si="5"/>
        <v>2014.6874999999998</v>
      </c>
      <c r="O172" s="18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13" customFormat="1" ht="18" customHeight="1">
      <c r="A173" s="228" t="s">
        <v>25</v>
      </c>
      <c r="B173" s="56" t="s">
        <v>20</v>
      </c>
      <c r="C173" s="56" t="s">
        <v>156</v>
      </c>
      <c r="D173" s="56" t="s">
        <v>154</v>
      </c>
      <c r="E173" s="56">
        <v>48183</v>
      </c>
      <c r="F173" s="56">
        <v>91</v>
      </c>
      <c r="G173" s="56">
        <v>45</v>
      </c>
      <c r="H173" s="56"/>
      <c r="I173" s="56" t="s">
        <v>57</v>
      </c>
      <c r="J173" s="57">
        <v>4</v>
      </c>
      <c r="K173" s="56" t="s">
        <v>187</v>
      </c>
      <c r="L173" s="62">
        <v>57.94</v>
      </c>
      <c r="M173" s="62">
        <v>73.75</v>
      </c>
      <c r="N173" s="60">
        <f t="shared" si="5"/>
        <v>6914.0625</v>
      </c>
      <c r="O173" s="18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13" customFormat="1" ht="18" customHeight="1">
      <c r="A174" s="228" t="s">
        <v>25</v>
      </c>
      <c r="B174" s="56" t="s">
        <v>20</v>
      </c>
      <c r="C174" s="56" t="s">
        <v>156</v>
      </c>
      <c r="D174" s="56" t="s">
        <v>154</v>
      </c>
      <c r="E174" s="56">
        <v>48183</v>
      </c>
      <c r="F174" s="56">
        <v>91</v>
      </c>
      <c r="G174" s="56">
        <v>73</v>
      </c>
      <c r="H174" s="56"/>
      <c r="I174" s="56" t="s">
        <v>46</v>
      </c>
      <c r="J174" s="57">
        <v>5</v>
      </c>
      <c r="K174" s="56" t="s">
        <v>188</v>
      </c>
      <c r="L174" s="62">
        <v>17.9</v>
      </c>
      <c r="M174" s="62">
        <v>11.94</v>
      </c>
      <c r="N174" s="60">
        <f t="shared" si="5"/>
        <v>1119.375</v>
      </c>
      <c r="O174" s="18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13" customFormat="1" ht="18" customHeight="1">
      <c r="A175" s="228" t="s">
        <v>25</v>
      </c>
      <c r="B175" s="56" t="s">
        <v>20</v>
      </c>
      <c r="C175" s="56" t="s">
        <v>156</v>
      </c>
      <c r="D175" s="56" t="s">
        <v>154</v>
      </c>
      <c r="E175" s="56">
        <v>48183</v>
      </c>
      <c r="F175" s="56">
        <v>91</v>
      </c>
      <c r="G175" s="56">
        <v>192</v>
      </c>
      <c r="H175" s="56"/>
      <c r="I175" s="56" t="s">
        <v>57</v>
      </c>
      <c r="J175" s="57">
        <v>2</v>
      </c>
      <c r="K175" s="56" t="s">
        <v>189</v>
      </c>
      <c r="L175" s="62">
        <v>181.6</v>
      </c>
      <c r="M175" s="62">
        <v>307.32</v>
      </c>
      <c r="N175" s="60">
        <f t="shared" si="5"/>
        <v>28811.25</v>
      </c>
      <c r="O175" s="18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13" customFormat="1" ht="18" customHeight="1">
      <c r="A176" s="228" t="s">
        <v>8</v>
      </c>
      <c r="B176" s="56" t="s">
        <v>71</v>
      </c>
      <c r="C176" s="56" t="s">
        <v>156</v>
      </c>
      <c r="D176" s="56" t="s">
        <v>190</v>
      </c>
      <c r="E176" s="56">
        <v>3140</v>
      </c>
      <c r="F176" s="56">
        <v>86</v>
      </c>
      <c r="G176" s="56">
        <v>74</v>
      </c>
      <c r="H176" s="56">
        <v>1</v>
      </c>
      <c r="I176" s="57" t="s">
        <v>53</v>
      </c>
      <c r="J176" s="57">
        <v>1</v>
      </c>
      <c r="K176" s="56">
        <v>181</v>
      </c>
      <c r="L176" s="183"/>
      <c r="M176" s="183">
        <f>217200/1936.27</f>
        <v>112.17443848223647</v>
      </c>
      <c r="N176" s="60">
        <f>PRODUCT(M176*100)+(M176*100*5%)</f>
        <v>11778.316040634829</v>
      </c>
      <c r="O176" s="18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13" customFormat="1" ht="18" customHeight="1">
      <c r="A177" s="226" t="s">
        <v>8</v>
      </c>
      <c r="B177" s="80" t="s">
        <v>71</v>
      </c>
      <c r="C177" s="80" t="s">
        <v>156</v>
      </c>
      <c r="D177" s="80" t="s">
        <v>190</v>
      </c>
      <c r="E177" s="80">
        <v>3140</v>
      </c>
      <c r="F177" s="80">
        <v>86</v>
      </c>
      <c r="G177" s="80">
        <v>78</v>
      </c>
      <c r="H177" s="80">
        <v>1</v>
      </c>
      <c r="I177" s="81" t="s">
        <v>100</v>
      </c>
      <c r="J177" s="81">
        <v>1</v>
      </c>
      <c r="K177" s="80">
        <v>5.5</v>
      </c>
      <c r="L177" s="139"/>
      <c r="M177" s="139">
        <f>247500/1936.27</f>
        <v>127.8230825246479</v>
      </c>
      <c r="N177" s="84">
        <f>PRODUCT(M177*100)+(M177*100*5%)</f>
        <v>13421.42366508803</v>
      </c>
      <c r="O177" s="18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13" customFormat="1" ht="18" customHeight="1">
      <c r="A178" s="228" t="s">
        <v>8</v>
      </c>
      <c r="B178" s="56" t="s">
        <v>605</v>
      </c>
      <c r="C178" s="56" t="s">
        <v>156</v>
      </c>
      <c r="D178" s="56" t="s">
        <v>190</v>
      </c>
      <c r="E178" s="56"/>
      <c r="F178" s="56">
        <v>86</v>
      </c>
      <c r="G178" s="56">
        <v>120</v>
      </c>
      <c r="H178" s="56">
        <v>1</v>
      </c>
      <c r="I178" s="57" t="s">
        <v>606</v>
      </c>
      <c r="J178" s="57"/>
      <c r="K178" s="56"/>
      <c r="L178" s="222"/>
      <c r="M178" s="222">
        <v>2863.24</v>
      </c>
      <c r="N178" s="60">
        <v>150320.1</v>
      </c>
      <c r="O178" s="18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13" customFormat="1" ht="18" customHeight="1">
      <c r="A179" s="226" t="s">
        <v>8</v>
      </c>
      <c r="B179" s="80" t="s">
        <v>71</v>
      </c>
      <c r="C179" s="80" t="s">
        <v>156</v>
      </c>
      <c r="D179" s="80" t="s">
        <v>607</v>
      </c>
      <c r="E179" s="80"/>
      <c r="F179" s="80">
        <v>86</v>
      </c>
      <c r="G179" s="80">
        <v>120</v>
      </c>
      <c r="H179" s="80">
        <v>2</v>
      </c>
      <c r="I179" s="81" t="s">
        <v>54</v>
      </c>
      <c r="J179" s="81">
        <v>5</v>
      </c>
      <c r="K179" s="80">
        <v>6.5</v>
      </c>
      <c r="L179" s="139"/>
      <c r="M179" s="139">
        <v>503.55</v>
      </c>
      <c r="N179" s="84">
        <f>PRODUCT(M179*100)+(M179*100*5%)</f>
        <v>52872.75</v>
      </c>
      <c r="O179" s="18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13" customFormat="1" ht="18" customHeight="1">
      <c r="A180" s="226" t="s">
        <v>8</v>
      </c>
      <c r="B180" s="80" t="s">
        <v>608</v>
      </c>
      <c r="C180" s="80" t="s">
        <v>156</v>
      </c>
      <c r="D180" s="80" t="s">
        <v>190</v>
      </c>
      <c r="E180" s="80"/>
      <c r="F180" s="80">
        <v>86</v>
      </c>
      <c r="G180" s="80">
        <v>123</v>
      </c>
      <c r="H180" s="80">
        <v>1</v>
      </c>
      <c r="I180" s="81" t="s">
        <v>606</v>
      </c>
      <c r="J180" s="81"/>
      <c r="K180" s="80"/>
      <c r="L180" s="223"/>
      <c r="M180" s="223">
        <v>1609.28</v>
      </c>
      <c r="N180" s="84">
        <v>84487.2</v>
      </c>
      <c r="O180" s="189">
        <f>3550000000/1936.27*1.0797</f>
        <v>1979545.724511561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4" spans="1:15" ht="12.75">
      <c r="A184" s="212" t="s">
        <v>542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43"/>
      <c r="N184" s="43"/>
      <c r="O184" s="219"/>
    </row>
    <row r="185" spans="1:36" ht="12.75">
      <c r="A185" s="160" t="s">
        <v>1</v>
      </c>
      <c r="B185" s="161" t="s">
        <v>479</v>
      </c>
      <c r="C185" s="161" t="s">
        <v>478</v>
      </c>
      <c r="D185" s="161" t="s">
        <v>477</v>
      </c>
      <c r="E185" s="161" t="s">
        <v>2</v>
      </c>
      <c r="F185" s="161" t="s">
        <v>3</v>
      </c>
      <c r="G185" s="162" t="s">
        <v>480</v>
      </c>
      <c r="H185" s="161" t="s">
        <v>4</v>
      </c>
      <c r="I185" s="160" t="s">
        <v>5</v>
      </c>
      <c r="J185" s="160" t="s">
        <v>6</v>
      </c>
      <c r="K185" s="160" t="s">
        <v>7</v>
      </c>
      <c r="L185" s="160" t="s">
        <v>455</v>
      </c>
      <c r="M185" s="163" t="s">
        <v>468</v>
      </c>
      <c r="N185" s="164" t="s">
        <v>508</v>
      </c>
      <c r="O185" s="165" t="s">
        <v>507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2.75">
      <c r="A186" s="166"/>
      <c r="B186" s="167"/>
      <c r="C186" s="167"/>
      <c r="D186" s="167"/>
      <c r="E186" s="166"/>
      <c r="F186" s="167"/>
      <c r="G186" s="168"/>
      <c r="H186" s="167"/>
      <c r="I186" s="166"/>
      <c r="J186" s="166"/>
      <c r="K186" s="166"/>
      <c r="L186" s="167" t="s">
        <v>509</v>
      </c>
      <c r="M186" s="169" t="s">
        <v>509</v>
      </c>
      <c r="N186" s="170" t="s">
        <v>509</v>
      </c>
      <c r="O186" s="171" t="s">
        <v>513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18" customFormat="1" ht="18" customHeight="1">
      <c r="A187" s="225" t="s">
        <v>8</v>
      </c>
      <c r="B187" s="154" t="s">
        <v>510</v>
      </c>
      <c r="C187" s="154" t="s">
        <v>207</v>
      </c>
      <c r="D187" s="154" t="s">
        <v>544</v>
      </c>
      <c r="E187" s="154">
        <v>1237</v>
      </c>
      <c r="F187" s="154">
        <v>214</v>
      </c>
      <c r="G187" s="154">
        <v>1536</v>
      </c>
      <c r="H187" s="154">
        <v>2</v>
      </c>
      <c r="I187" s="155" t="s">
        <v>79</v>
      </c>
      <c r="J187" s="155" t="s">
        <v>23</v>
      </c>
      <c r="K187" s="154">
        <v>30304</v>
      </c>
      <c r="L187" s="141"/>
      <c r="M187" s="142">
        <v>23476.06</v>
      </c>
      <c r="N187" s="112">
        <f>PRODUCT(M187*100)+(M187*100*5%)</f>
        <v>2464986.3</v>
      </c>
      <c r="O187" s="133">
        <f>PRODUCT(N187*4)</f>
        <v>9859945.2</v>
      </c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s="13" customFormat="1" ht="18" customHeight="1">
      <c r="A188" s="227" t="s">
        <v>8</v>
      </c>
      <c r="B188" s="100" t="s">
        <v>510</v>
      </c>
      <c r="C188" s="71" t="s">
        <v>209</v>
      </c>
      <c r="D188" s="71" t="s">
        <v>210</v>
      </c>
      <c r="E188" s="71">
        <v>6003</v>
      </c>
      <c r="F188" s="71">
        <v>118</v>
      </c>
      <c r="G188" s="71">
        <v>248</v>
      </c>
      <c r="H188" s="71"/>
      <c r="I188" s="72" t="s">
        <v>115</v>
      </c>
      <c r="J188" s="72" t="s">
        <v>23</v>
      </c>
      <c r="K188" s="71">
        <v>689</v>
      </c>
      <c r="L188" s="131"/>
      <c r="M188" s="74">
        <v>533.76</v>
      </c>
      <c r="N188" s="75">
        <f>PRODUCT(M188*100)+(M188*100*5%)</f>
        <v>56044.8</v>
      </c>
      <c r="O188" s="133">
        <f>PRODUCT(N188*4)</f>
        <v>224179.2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13" customFormat="1" ht="18" customHeight="1">
      <c r="A189" s="231" t="s">
        <v>8</v>
      </c>
      <c r="B189" s="193" t="s">
        <v>510</v>
      </c>
      <c r="C189" s="120" t="s">
        <v>211</v>
      </c>
      <c r="D189" s="120" t="s">
        <v>212</v>
      </c>
      <c r="E189" s="120">
        <v>1003003</v>
      </c>
      <c r="F189" s="120">
        <v>118</v>
      </c>
      <c r="G189" s="120">
        <v>31</v>
      </c>
      <c r="H189" s="120"/>
      <c r="I189" s="123" t="s">
        <v>79</v>
      </c>
      <c r="J189" s="123" t="s">
        <v>23</v>
      </c>
      <c r="K189" s="120">
        <v>48970</v>
      </c>
      <c r="L189" s="194"/>
      <c r="M189" s="195">
        <f>73455000/1936.27</f>
        <v>37936.34152261823</v>
      </c>
      <c r="N189" s="126">
        <f>PRODUCT(M189*100)+(M189*100*5%)</f>
        <v>3983315.8598749144</v>
      </c>
      <c r="O189" s="132">
        <f>PRODUCT(N189*5)</f>
        <v>19916579.299374573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13" customFormat="1" ht="18" customHeight="1">
      <c r="A190" s="227" t="s">
        <v>25</v>
      </c>
      <c r="B190" s="71" t="s">
        <v>20</v>
      </c>
      <c r="C190" s="71" t="s">
        <v>213</v>
      </c>
      <c r="D190" s="71" t="s">
        <v>214</v>
      </c>
      <c r="E190" s="71">
        <v>4806</v>
      </c>
      <c r="F190" s="71">
        <v>13</v>
      </c>
      <c r="G190" s="71">
        <v>13</v>
      </c>
      <c r="H190" s="71"/>
      <c r="I190" s="71" t="s">
        <v>57</v>
      </c>
      <c r="J190" s="72">
        <v>3</v>
      </c>
      <c r="K190" s="71" t="s">
        <v>215</v>
      </c>
      <c r="L190" s="88">
        <v>31.07</v>
      </c>
      <c r="M190" s="88">
        <v>34.53</v>
      </c>
      <c r="N190" s="75">
        <f aca="true" t="shared" si="6" ref="N190:N205">PRODUCT(M190*75)+(M190*75*25%)</f>
        <v>3237.1875</v>
      </c>
      <c r="O190" s="117">
        <f>27000000/1936.27</f>
        <v>13944.336275416135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13" customFormat="1" ht="18" customHeight="1">
      <c r="A191" s="227" t="s">
        <v>25</v>
      </c>
      <c r="B191" s="71" t="s">
        <v>20</v>
      </c>
      <c r="C191" s="71" t="s">
        <v>213</v>
      </c>
      <c r="D191" s="71" t="s">
        <v>216</v>
      </c>
      <c r="E191" s="71">
        <v>4806</v>
      </c>
      <c r="F191" s="71">
        <v>14</v>
      </c>
      <c r="G191" s="71">
        <v>5</v>
      </c>
      <c r="H191" s="71"/>
      <c r="I191" s="71" t="s">
        <v>57</v>
      </c>
      <c r="J191" s="72">
        <v>3</v>
      </c>
      <c r="K191" s="71" t="s">
        <v>217</v>
      </c>
      <c r="L191" s="88">
        <v>30.85</v>
      </c>
      <c r="M191" s="88">
        <v>34.28</v>
      </c>
      <c r="N191" s="75">
        <f t="shared" si="6"/>
        <v>3213.75</v>
      </c>
      <c r="O191" s="117">
        <f>27000000/1936.27</f>
        <v>13944.336275416135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13" customFormat="1" ht="18" customHeight="1">
      <c r="A192" s="225" t="s">
        <v>25</v>
      </c>
      <c r="B192" s="154" t="s">
        <v>510</v>
      </c>
      <c r="C192" s="107" t="s">
        <v>218</v>
      </c>
      <c r="D192" s="107" t="s">
        <v>219</v>
      </c>
      <c r="E192" s="107">
        <v>29452</v>
      </c>
      <c r="F192" s="107">
        <v>118</v>
      </c>
      <c r="G192" s="107">
        <v>1</v>
      </c>
      <c r="H192" s="107"/>
      <c r="I192" s="107" t="s">
        <v>220</v>
      </c>
      <c r="J192" s="109" t="s">
        <v>23</v>
      </c>
      <c r="K192" s="107" t="s">
        <v>221</v>
      </c>
      <c r="L192" s="150">
        <v>0.59</v>
      </c>
      <c r="M192" s="150">
        <v>1.49</v>
      </c>
      <c r="N192" s="112">
        <f t="shared" si="6"/>
        <v>139.6875</v>
      </c>
      <c r="O192" s="180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16" customFormat="1" ht="18" customHeight="1">
      <c r="A193" s="228" t="s">
        <v>25</v>
      </c>
      <c r="B193" s="102" t="s">
        <v>510</v>
      </c>
      <c r="C193" s="56" t="s">
        <v>218</v>
      </c>
      <c r="D193" s="56" t="s">
        <v>219</v>
      </c>
      <c r="E193" s="56">
        <v>29452</v>
      </c>
      <c r="F193" s="56">
        <v>118</v>
      </c>
      <c r="G193" s="56">
        <v>32</v>
      </c>
      <c r="H193" s="56"/>
      <c r="I193" s="56" t="s">
        <v>46</v>
      </c>
      <c r="J193" s="57">
        <v>1</v>
      </c>
      <c r="K193" s="56" t="s">
        <v>222</v>
      </c>
      <c r="L193" s="62">
        <v>70.73</v>
      </c>
      <c r="M193" s="62">
        <v>141.46</v>
      </c>
      <c r="N193" s="60">
        <f t="shared" si="6"/>
        <v>13261.875</v>
      </c>
      <c r="O193" s="18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12" customFormat="1" ht="18" customHeight="1">
      <c r="A194" s="228" t="s">
        <v>25</v>
      </c>
      <c r="B194" s="102" t="s">
        <v>510</v>
      </c>
      <c r="C194" s="56" t="s">
        <v>218</v>
      </c>
      <c r="D194" s="56" t="s">
        <v>219</v>
      </c>
      <c r="E194" s="56">
        <v>29452</v>
      </c>
      <c r="F194" s="56">
        <v>118</v>
      </c>
      <c r="G194" s="56">
        <v>293</v>
      </c>
      <c r="H194" s="56"/>
      <c r="I194" s="56" t="s">
        <v>131</v>
      </c>
      <c r="J194" s="57">
        <v>2</v>
      </c>
      <c r="K194" s="56" t="s">
        <v>223</v>
      </c>
      <c r="L194" s="62">
        <v>44.92</v>
      </c>
      <c r="M194" s="62">
        <v>114.79</v>
      </c>
      <c r="N194" s="60">
        <f t="shared" si="6"/>
        <v>10761.5625</v>
      </c>
      <c r="O194" s="18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13" customFormat="1" ht="18" customHeight="1">
      <c r="A195" s="228" t="s">
        <v>25</v>
      </c>
      <c r="B195" s="102" t="s">
        <v>510</v>
      </c>
      <c r="C195" s="56" t="s">
        <v>218</v>
      </c>
      <c r="D195" s="56" t="s">
        <v>219</v>
      </c>
      <c r="E195" s="56">
        <v>250463</v>
      </c>
      <c r="F195" s="56">
        <v>118</v>
      </c>
      <c r="G195" s="56">
        <v>320</v>
      </c>
      <c r="H195" s="56"/>
      <c r="I195" s="56" t="s">
        <v>46</v>
      </c>
      <c r="J195" s="57">
        <v>1</v>
      </c>
      <c r="K195" s="56" t="s">
        <v>226</v>
      </c>
      <c r="L195" s="62">
        <f>23465/1936.27</f>
        <v>12.1186611371348</v>
      </c>
      <c r="M195" s="62">
        <f>46930/1936.27</f>
        <v>24.2373222742696</v>
      </c>
      <c r="N195" s="60">
        <f t="shared" si="6"/>
        <v>2272.2489632127754</v>
      </c>
      <c r="O195" s="18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13" customFormat="1" ht="18" customHeight="1">
      <c r="A196" s="228" t="s">
        <v>25</v>
      </c>
      <c r="B196" s="102" t="s">
        <v>510</v>
      </c>
      <c r="C196" s="56" t="s">
        <v>218</v>
      </c>
      <c r="D196" s="56" t="s">
        <v>219</v>
      </c>
      <c r="E196" s="56">
        <v>235429</v>
      </c>
      <c r="F196" s="56">
        <v>118</v>
      </c>
      <c r="G196" s="56">
        <v>322</v>
      </c>
      <c r="H196" s="56"/>
      <c r="I196" s="56" t="s">
        <v>46</v>
      </c>
      <c r="J196" s="57">
        <v>1</v>
      </c>
      <c r="K196" s="56" t="s">
        <v>545</v>
      </c>
      <c r="L196" s="62">
        <f>1137/1936.27</f>
        <v>0.5872114942647462</v>
      </c>
      <c r="M196" s="62">
        <f>2275/1936.27</f>
        <v>1.1749394454285818</v>
      </c>
      <c r="N196" s="60">
        <f t="shared" si="6"/>
        <v>110.15057300892954</v>
      </c>
      <c r="O196" s="18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13" customFormat="1" ht="18" customHeight="1">
      <c r="A197" s="228" t="s">
        <v>25</v>
      </c>
      <c r="B197" s="102" t="s">
        <v>510</v>
      </c>
      <c r="C197" s="56" t="s">
        <v>218</v>
      </c>
      <c r="D197" s="56" t="s">
        <v>219</v>
      </c>
      <c r="E197" s="56">
        <v>14183</v>
      </c>
      <c r="F197" s="56">
        <v>118</v>
      </c>
      <c r="G197" s="56">
        <v>324</v>
      </c>
      <c r="H197" s="56"/>
      <c r="I197" s="56" t="s">
        <v>46</v>
      </c>
      <c r="J197" s="57">
        <v>1</v>
      </c>
      <c r="K197" s="56" t="s">
        <v>224</v>
      </c>
      <c r="L197" s="62">
        <v>44.69</v>
      </c>
      <c r="M197" s="62">
        <v>89.38</v>
      </c>
      <c r="N197" s="60">
        <f t="shared" si="6"/>
        <v>8379.375</v>
      </c>
      <c r="O197" s="18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13" customFormat="1" ht="18" customHeight="1">
      <c r="A198" s="228" t="s">
        <v>25</v>
      </c>
      <c r="B198" s="102" t="s">
        <v>510</v>
      </c>
      <c r="C198" s="56" t="s">
        <v>218</v>
      </c>
      <c r="D198" s="56" t="s">
        <v>219</v>
      </c>
      <c r="E198" s="56">
        <v>1715</v>
      </c>
      <c r="F198" s="56">
        <v>118</v>
      </c>
      <c r="G198" s="56">
        <v>326</v>
      </c>
      <c r="H198" s="56"/>
      <c r="I198" s="56" t="s">
        <v>220</v>
      </c>
      <c r="J198" s="57" t="s">
        <v>23</v>
      </c>
      <c r="K198" s="56" t="s">
        <v>225</v>
      </c>
      <c r="L198" s="62">
        <v>1.58</v>
      </c>
      <c r="M198" s="62">
        <v>1.58</v>
      </c>
      <c r="N198" s="60">
        <f t="shared" si="6"/>
        <v>148.125</v>
      </c>
      <c r="O198" s="18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3" customFormat="1" ht="18" customHeight="1">
      <c r="A199" s="226" t="s">
        <v>25</v>
      </c>
      <c r="B199" s="105" t="s">
        <v>510</v>
      </c>
      <c r="C199" s="80" t="s">
        <v>218</v>
      </c>
      <c r="D199" s="80" t="s">
        <v>219</v>
      </c>
      <c r="E199" s="80">
        <v>252431</v>
      </c>
      <c r="F199" s="80">
        <v>118</v>
      </c>
      <c r="G199" s="80">
        <v>734</v>
      </c>
      <c r="H199" s="80"/>
      <c r="I199" s="80" t="s">
        <v>131</v>
      </c>
      <c r="J199" s="81">
        <v>1</v>
      </c>
      <c r="K199" s="80" t="s">
        <v>226</v>
      </c>
      <c r="L199" s="83">
        <f>90250/1936.27</f>
        <v>46.610235142826156</v>
      </c>
      <c r="M199" s="83">
        <f>216600/1936.27</f>
        <v>111.86456434278277</v>
      </c>
      <c r="N199" s="84">
        <f t="shared" si="6"/>
        <v>10487.302907135883</v>
      </c>
      <c r="O199" s="189">
        <f>SUM(N192:N199)*5</f>
        <v>227801.63721678796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13" customFormat="1" ht="18" customHeight="1">
      <c r="A200" s="225" t="s">
        <v>25</v>
      </c>
      <c r="B200" s="107" t="s">
        <v>20</v>
      </c>
      <c r="C200" s="107" t="s">
        <v>213</v>
      </c>
      <c r="D200" s="107" t="s">
        <v>227</v>
      </c>
      <c r="E200" s="107">
        <v>4807</v>
      </c>
      <c r="F200" s="107">
        <v>150</v>
      </c>
      <c r="G200" s="107">
        <v>30</v>
      </c>
      <c r="H200" s="107"/>
      <c r="I200" s="107" t="s">
        <v>55</v>
      </c>
      <c r="J200" s="109">
        <v>4</v>
      </c>
      <c r="K200" s="107" t="s">
        <v>228</v>
      </c>
      <c r="L200" s="150">
        <v>52.76</v>
      </c>
      <c r="M200" s="150">
        <v>58.03</v>
      </c>
      <c r="N200" s="112">
        <f t="shared" si="6"/>
        <v>5440.3125</v>
      </c>
      <c r="O200" s="180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13" customFormat="1" ht="18" customHeight="1">
      <c r="A201" s="228" t="s">
        <v>25</v>
      </c>
      <c r="B201" s="56" t="s">
        <v>20</v>
      </c>
      <c r="C201" s="56" t="s">
        <v>213</v>
      </c>
      <c r="D201" s="56" t="s">
        <v>227</v>
      </c>
      <c r="E201" s="56">
        <v>4807</v>
      </c>
      <c r="F201" s="56">
        <v>150</v>
      </c>
      <c r="G201" s="56">
        <v>52</v>
      </c>
      <c r="H201" s="56"/>
      <c r="I201" s="56" t="s">
        <v>55</v>
      </c>
      <c r="J201" s="57">
        <v>4</v>
      </c>
      <c r="K201" s="56" t="s">
        <v>229</v>
      </c>
      <c r="L201" s="62">
        <v>35.78</v>
      </c>
      <c r="M201" s="62">
        <v>39.36</v>
      </c>
      <c r="N201" s="60">
        <f t="shared" si="6"/>
        <v>3690</v>
      </c>
      <c r="O201" s="18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13" customFormat="1" ht="18" customHeight="1">
      <c r="A202" s="228" t="s">
        <v>25</v>
      </c>
      <c r="B202" s="56" t="s">
        <v>20</v>
      </c>
      <c r="C202" s="56" t="s">
        <v>213</v>
      </c>
      <c r="D202" s="56" t="s">
        <v>227</v>
      </c>
      <c r="E202" s="56">
        <v>4807</v>
      </c>
      <c r="F202" s="56">
        <v>150</v>
      </c>
      <c r="G202" s="56">
        <v>54</v>
      </c>
      <c r="H202" s="56"/>
      <c r="I202" s="56" t="s">
        <v>57</v>
      </c>
      <c r="J202" s="57">
        <v>4</v>
      </c>
      <c r="K202" s="56" t="s">
        <v>230</v>
      </c>
      <c r="L202" s="62">
        <v>24.12</v>
      </c>
      <c r="M202" s="62">
        <v>24.12</v>
      </c>
      <c r="N202" s="60">
        <f t="shared" si="6"/>
        <v>2261.25</v>
      </c>
      <c r="O202" s="18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13" customFormat="1" ht="18" customHeight="1">
      <c r="A203" s="228" t="s">
        <v>25</v>
      </c>
      <c r="B203" s="56" t="s">
        <v>20</v>
      </c>
      <c r="C203" s="56" t="s">
        <v>213</v>
      </c>
      <c r="D203" s="56" t="s">
        <v>227</v>
      </c>
      <c r="E203" s="56">
        <v>4807</v>
      </c>
      <c r="F203" s="56">
        <v>150</v>
      </c>
      <c r="G203" s="56">
        <v>75</v>
      </c>
      <c r="H203" s="56"/>
      <c r="I203" s="56" t="s">
        <v>55</v>
      </c>
      <c r="J203" s="57">
        <v>4</v>
      </c>
      <c r="K203" s="56" t="s">
        <v>231</v>
      </c>
      <c r="L203" s="62">
        <v>34.34</v>
      </c>
      <c r="M203" s="62">
        <v>37.77</v>
      </c>
      <c r="N203" s="60">
        <f t="shared" si="6"/>
        <v>3540.9375000000005</v>
      </c>
      <c r="O203" s="18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s="13" customFormat="1" ht="18" customHeight="1">
      <c r="A204" s="228" t="s">
        <v>25</v>
      </c>
      <c r="B204" s="56" t="s">
        <v>20</v>
      </c>
      <c r="C204" s="56" t="s">
        <v>213</v>
      </c>
      <c r="D204" s="56" t="s">
        <v>227</v>
      </c>
      <c r="E204" s="56">
        <v>4807</v>
      </c>
      <c r="F204" s="56">
        <v>150</v>
      </c>
      <c r="G204" s="56">
        <v>79</v>
      </c>
      <c r="H204" s="56"/>
      <c r="I204" s="56" t="s">
        <v>57</v>
      </c>
      <c r="J204" s="57">
        <v>4</v>
      </c>
      <c r="K204" s="56" t="s">
        <v>232</v>
      </c>
      <c r="L204" s="62">
        <v>12.34</v>
      </c>
      <c r="M204" s="62">
        <v>12.34</v>
      </c>
      <c r="N204" s="60">
        <f t="shared" si="6"/>
        <v>1156.875</v>
      </c>
      <c r="O204" s="18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s="13" customFormat="1" ht="18" customHeight="1">
      <c r="A205" s="226" t="s">
        <v>25</v>
      </c>
      <c r="B205" s="80" t="s">
        <v>20</v>
      </c>
      <c r="C205" s="80" t="s">
        <v>213</v>
      </c>
      <c r="D205" s="80" t="s">
        <v>227</v>
      </c>
      <c r="E205" s="80">
        <v>4807</v>
      </c>
      <c r="F205" s="80">
        <v>162</v>
      </c>
      <c r="G205" s="80">
        <v>15</v>
      </c>
      <c r="H205" s="80"/>
      <c r="I205" s="80" t="s">
        <v>55</v>
      </c>
      <c r="J205" s="81">
        <v>4</v>
      </c>
      <c r="K205" s="80" t="s">
        <v>233</v>
      </c>
      <c r="L205" s="83">
        <v>34.64</v>
      </c>
      <c r="M205" s="83">
        <v>38.11</v>
      </c>
      <c r="N205" s="84">
        <f t="shared" si="6"/>
        <v>3572.8125</v>
      </c>
      <c r="O205" s="186">
        <f>137000000/1936.27*1.0797</f>
        <v>76393.73641072784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15" ht="12.75">
      <c r="A206" s="212" t="s">
        <v>546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43"/>
      <c r="N206" s="43"/>
      <c r="O206" s="219"/>
    </row>
    <row r="207" spans="1:36" ht="12.75">
      <c r="A207" s="160" t="s">
        <v>1</v>
      </c>
      <c r="B207" s="161" t="s">
        <v>479</v>
      </c>
      <c r="C207" s="161" t="s">
        <v>478</v>
      </c>
      <c r="D207" s="161" t="s">
        <v>477</v>
      </c>
      <c r="E207" s="161" t="s">
        <v>2</v>
      </c>
      <c r="F207" s="161" t="s">
        <v>3</v>
      </c>
      <c r="G207" s="162" t="s">
        <v>480</v>
      </c>
      <c r="H207" s="161" t="s">
        <v>4</v>
      </c>
      <c r="I207" s="160" t="s">
        <v>5</v>
      </c>
      <c r="J207" s="160" t="s">
        <v>6</v>
      </c>
      <c r="K207" s="160" t="s">
        <v>7</v>
      </c>
      <c r="L207" s="160" t="s">
        <v>455</v>
      </c>
      <c r="M207" s="163" t="s">
        <v>468</v>
      </c>
      <c r="N207" s="164" t="s">
        <v>508</v>
      </c>
      <c r="O207" s="165" t="s">
        <v>507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>
      <c r="A208" s="166"/>
      <c r="B208" s="167"/>
      <c r="C208" s="167"/>
      <c r="D208" s="167"/>
      <c r="E208" s="166"/>
      <c r="F208" s="167"/>
      <c r="G208" s="168"/>
      <c r="H208" s="167"/>
      <c r="I208" s="166"/>
      <c r="J208" s="166"/>
      <c r="K208" s="166"/>
      <c r="L208" s="167" t="s">
        <v>509</v>
      </c>
      <c r="M208" s="169" t="s">
        <v>509</v>
      </c>
      <c r="N208" s="170" t="s">
        <v>509</v>
      </c>
      <c r="O208" s="171" t="s">
        <v>513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s="13" customFormat="1" ht="18" customHeight="1">
      <c r="A209" s="225" t="s">
        <v>8</v>
      </c>
      <c r="B209" s="154" t="s">
        <v>510</v>
      </c>
      <c r="C209" s="107" t="s">
        <v>557</v>
      </c>
      <c r="D209" s="107" t="s">
        <v>235</v>
      </c>
      <c r="E209" s="107" t="s">
        <v>109</v>
      </c>
      <c r="F209" s="107">
        <v>36</v>
      </c>
      <c r="G209" s="107">
        <v>25</v>
      </c>
      <c r="H209" s="107"/>
      <c r="I209" s="109" t="s">
        <v>24</v>
      </c>
      <c r="J209" s="109" t="s">
        <v>23</v>
      </c>
      <c r="K209" s="107">
        <v>20139</v>
      </c>
      <c r="L209" s="142"/>
      <c r="M209" s="142">
        <v>15601.39</v>
      </c>
      <c r="N209" s="112">
        <f>PRODUCT(M209*100)+(M209*100*5%)</f>
        <v>1638145.95</v>
      </c>
      <c r="O209" s="180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s="13" customFormat="1" ht="18" customHeight="1">
      <c r="A210" s="228" t="s">
        <v>25</v>
      </c>
      <c r="B210" s="102" t="s">
        <v>510</v>
      </c>
      <c r="C210" s="56" t="s">
        <v>557</v>
      </c>
      <c r="D210" s="56" t="s">
        <v>235</v>
      </c>
      <c r="E210" s="56">
        <v>8386</v>
      </c>
      <c r="F210" s="56">
        <v>36</v>
      </c>
      <c r="G210" s="56">
        <v>1529</v>
      </c>
      <c r="H210" s="56"/>
      <c r="I210" s="56" t="s">
        <v>57</v>
      </c>
      <c r="J210" s="57">
        <v>2</v>
      </c>
      <c r="K210" s="56" t="s">
        <v>236</v>
      </c>
      <c r="L210" s="62">
        <v>5.96</v>
      </c>
      <c r="M210" s="62">
        <v>7.15</v>
      </c>
      <c r="N210" s="60">
        <f aca="true" t="shared" si="7" ref="N210:N219">PRODUCT(M210*75)+(M210*75*25%)</f>
        <v>670.3125</v>
      </c>
      <c r="O210" s="18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s="13" customFormat="1" ht="18" customHeight="1">
      <c r="A211" s="228" t="s">
        <v>25</v>
      </c>
      <c r="B211" s="102" t="s">
        <v>510</v>
      </c>
      <c r="C211" s="56" t="s">
        <v>557</v>
      </c>
      <c r="D211" s="56" t="s">
        <v>235</v>
      </c>
      <c r="E211" s="56">
        <v>8386</v>
      </c>
      <c r="F211" s="56">
        <v>36</v>
      </c>
      <c r="G211" s="56">
        <v>1530</v>
      </c>
      <c r="H211" s="56"/>
      <c r="I211" s="56" t="s">
        <v>57</v>
      </c>
      <c r="J211" s="57">
        <v>2</v>
      </c>
      <c r="K211" s="56" t="s">
        <v>237</v>
      </c>
      <c r="L211" s="62">
        <v>23.68</v>
      </c>
      <c r="M211" s="62">
        <v>28.42</v>
      </c>
      <c r="N211" s="60">
        <f t="shared" si="7"/>
        <v>2664.375</v>
      </c>
      <c r="O211" s="18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s="13" customFormat="1" ht="18" customHeight="1">
      <c r="A212" s="228" t="s">
        <v>25</v>
      </c>
      <c r="B212" s="102" t="s">
        <v>510</v>
      </c>
      <c r="C212" s="56" t="s">
        <v>557</v>
      </c>
      <c r="D212" s="56" t="s">
        <v>235</v>
      </c>
      <c r="E212" s="56"/>
      <c r="F212" s="56">
        <v>36</v>
      </c>
      <c r="G212" s="56">
        <v>1536</v>
      </c>
      <c r="H212" s="56"/>
      <c r="I212" s="56" t="s">
        <v>57</v>
      </c>
      <c r="J212" s="57">
        <v>2</v>
      </c>
      <c r="K212" s="56" t="s">
        <v>547</v>
      </c>
      <c r="L212" s="62">
        <v>14.91</v>
      </c>
      <c r="M212" s="62">
        <v>17.9</v>
      </c>
      <c r="N212" s="60">
        <f t="shared" si="7"/>
        <v>1678.125</v>
      </c>
      <c r="O212" s="18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s="13" customFormat="1" ht="18" customHeight="1">
      <c r="A213" s="228" t="s">
        <v>25</v>
      </c>
      <c r="B213" s="102" t="s">
        <v>510</v>
      </c>
      <c r="C213" s="56" t="s">
        <v>557</v>
      </c>
      <c r="D213" s="56" t="s">
        <v>235</v>
      </c>
      <c r="E213" s="56"/>
      <c r="F213" s="56">
        <v>36</v>
      </c>
      <c r="G213" s="56">
        <v>1540</v>
      </c>
      <c r="H213" s="56"/>
      <c r="I213" s="56" t="s">
        <v>57</v>
      </c>
      <c r="J213" s="57">
        <v>2</v>
      </c>
      <c r="K213" s="56" t="s">
        <v>548</v>
      </c>
      <c r="L213" s="62">
        <v>95.19</v>
      </c>
      <c r="M213" s="62">
        <v>114.23</v>
      </c>
      <c r="N213" s="60">
        <f t="shared" si="7"/>
        <v>10709.0625</v>
      </c>
      <c r="O213" s="18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s="13" customFormat="1" ht="18" customHeight="1">
      <c r="A214" s="228" t="s">
        <v>25</v>
      </c>
      <c r="B214" s="102" t="s">
        <v>510</v>
      </c>
      <c r="C214" s="56" t="s">
        <v>557</v>
      </c>
      <c r="D214" s="56" t="s">
        <v>235</v>
      </c>
      <c r="E214" s="56"/>
      <c r="F214" s="56">
        <v>36</v>
      </c>
      <c r="G214" s="56">
        <v>1541</v>
      </c>
      <c r="H214" s="56"/>
      <c r="I214" s="56" t="s">
        <v>57</v>
      </c>
      <c r="J214" s="57">
        <v>1</v>
      </c>
      <c r="K214" s="56" t="s">
        <v>549</v>
      </c>
      <c r="L214" s="62">
        <v>66.65</v>
      </c>
      <c r="M214" s="62">
        <v>94.1</v>
      </c>
      <c r="N214" s="60">
        <f t="shared" si="7"/>
        <v>8821.875</v>
      </c>
      <c r="O214" s="18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s="13" customFormat="1" ht="18" customHeight="1">
      <c r="A215" s="228" t="s">
        <v>25</v>
      </c>
      <c r="B215" s="102" t="s">
        <v>510</v>
      </c>
      <c r="C215" s="56" t="s">
        <v>557</v>
      </c>
      <c r="D215" s="56" t="s">
        <v>235</v>
      </c>
      <c r="E215" s="56"/>
      <c r="F215" s="56">
        <v>36</v>
      </c>
      <c r="G215" s="56">
        <v>1544</v>
      </c>
      <c r="H215" s="56"/>
      <c r="I215" s="56" t="s">
        <v>131</v>
      </c>
      <c r="J215" s="57">
        <v>1</v>
      </c>
      <c r="K215" s="56" t="s">
        <v>550</v>
      </c>
      <c r="L215" s="62">
        <v>0.17</v>
      </c>
      <c r="M215" s="62">
        <v>0.31</v>
      </c>
      <c r="N215" s="60">
        <f t="shared" si="7"/>
        <v>29.0625</v>
      </c>
      <c r="O215" s="18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s="13" customFormat="1" ht="18" customHeight="1">
      <c r="A216" s="228" t="s">
        <v>25</v>
      </c>
      <c r="B216" s="102" t="s">
        <v>510</v>
      </c>
      <c r="C216" s="56" t="s">
        <v>557</v>
      </c>
      <c r="D216" s="56" t="s">
        <v>235</v>
      </c>
      <c r="E216" s="56"/>
      <c r="F216" s="56">
        <v>36</v>
      </c>
      <c r="G216" s="56">
        <v>1546</v>
      </c>
      <c r="H216" s="56"/>
      <c r="I216" s="56" t="s">
        <v>57</v>
      </c>
      <c r="J216" s="57">
        <v>1</v>
      </c>
      <c r="K216" s="56" t="s">
        <v>551</v>
      </c>
      <c r="L216" s="62">
        <v>9.13</v>
      </c>
      <c r="M216" s="62">
        <v>12.88</v>
      </c>
      <c r="N216" s="60">
        <f t="shared" si="7"/>
        <v>1207.5000000000002</v>
      </c>
      <c r="O216" s="18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s="13" customFormat="1" ht="18" customHeight="1">
      <c r="A217" s="228" t="s">
        <v>25</v>
      </c>
      <c r="B217" s="102" t="s">
        <v>510</v>
      </c>
      <c r="C217" s="56" t="s">
        <v>557</v>
      </c>
      <c r="D217" s="56" t="s">
        <v>235</v>
      </c>
      <c r="E217" s="56"/>
      <c r="F217" s="56">
        <v>36</v>
      </c>
      <c r="G217" s="56">
        <v>1548</v>
      </c>
      <c r="H217" s="56"/>
      <c r="I217" s="56" t="s">
        <v>55</v>
      </c>
      <c r="J217" s="57">
        <v>1</v>
      </c>
      <c r="K217" s="56" t="s">
        <v>552</v>
      </c>
      <c r="L217" s="62">
        <v>5.1</v>
      </c>
      <c r="M217" s="62">
        <v>8.2</v>
      </c>
      <c r="N217" s="60">
        <f t="shared" si="7"/>
        <v>768.75</v>
      </c>
      <c r="O217" s="18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s="13" customFormat="1" ht="18" customHeight="1">
      <c r="A218" s="228" t="s">
        <v>25</v>
      </c>
      <c r="B218" s="102" t="s">
        <v>510</v>
      </c>
      <c r="C218" s="56" t="s">
        <v>557</v>
      </c>
      <c r="D218" s="56" t="s">
        <v>235</v>
      </c>
      <c r="E218" s="56">
        <v>1033</v>
      </c>
      <c r="F218" s="56">
        <v>36</v>
      </c>
      <c r="G218" s="56">
        <v>27</v>
      </c>
      <c r="H218" s="56"/>
      <c r="I218" s="56" t="s">
        <v>117</v>
      </c>
      <c r="J218" s="57"/>
      <c r="K218" s="56" t="s">
        <v>238</v>
      </c>
      <c r="L218" s="62">
        <v>0</v>
      </c>
      <c r="M218" s="62">
        <v>0</v>
      </c>
      <c r="N218" s="60">
        <f t="shared" si="7"/>
        <v>0</v>
      </c>
      <c r="O218" s="18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s="13" customFormat="1" ht="18" customHeight="1">
      <c r="A219" s="226" t="s">
        <v>25</v>
      </c>
      <c r="B219" s="105" t="s">
        <v>510</v>
      </c>
      <c r="C219" s="80" t="s">
        <v>557</v>
      </c>
      <c r="D219" s="80" t="s">
        <v>235</v>
      </c>
      <c r="E219" s="80">
        <v>1033</v>
      </c>
      <c r="F219" s="80">
        <v>36</v>
      </c>
      <c r="G219" s="80">
        <v>28</v>
      </c>
      <c r="H219" s="80"/>
      <c r="I219" s="80" t="s">
        <v>117</v>
      </c>
      <c r="J219" s="81"/>
      <c r="K219" s="80" t="s">
        <v>239</v>
      </c>
      <c r="L219" s="83">
        <v>0</v>
      </c>
      <c r="M219" s="83">
        <v>0</v>
      </c>
      <c r="N219" s="84">
        <f t="shared" si="7"/>
        <v>0</v>
      </c>
      <c r="O219" s="189">
        <f>SUM(N209:N219)*4</f>
        <v>6658780.05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s="13" customFormat="1" ht="18" customHeight="1">
      <c r="A220" s="225" t="s">
        <v>8</v>
      </c>
      <c r="B220" s="154" t="s">
        <v>510</v>
      </c>
      <c r="C220" s="107" t="s">
        <v>558</v>
      </c>
      <c r="D220" s="107" t="s">
        <v>559</v>
      </c>
      <c r="E220" s="107"/>
      <c r="F220" s="107">
        <v>29</v>
      </c>
      <c r="G220" s="107">
        <v>176</v>
      </c>
      <c r="H220" s="107"/>
      <c r="I220" s="109" t="s">
        <v>243</v>
      </c>
      <c r="J220" s="109">
        <v>4</v>
      </c>
      <c r="K220" s="107">
        <v>188</v>
      </c>
      <c r="L220" s="142"/>
      <c r="M220" s="142">
        <v>621.4</v>
      </c>
      <c r="N220" s="112">
        <f>PRODUCT(M220*100)+(M220*100*5%)</f>
        <v>65247</v>
      </c>
      <c r="O220" s="180"/>
      <c r="P220" s="1" t="s">
        <v>564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s="13" customFormat="1" ht="18" customHeight="1">
      <c r="A221" s="228" t="s">
        <v>8</v>
      </c>
      <c r="B221" s="102" t="s">
        <v>510</v>
      </c>
      <c r="C221" s="56" t="s">
        <v>558</v>
      </c>
      <c r="D221" s="56" t="s">
        <v>560</v>
      </c>
      <c r="E221" s="56"/>
      <c r="F221" s="56">
        <v>29</v>
      </c>
      <c r="G221" s="56">
        <v>177</v>
      </c>
      <c r="H221" s="56">
        <v>2</v>
      </c>
      <c r="I221" s="57" t="s">
        <v>24</v>
      </c>
      <c r="J221" s="57" t="s">
        <v>23</v>
      </c>
      <c r="K221" s="56">
        <v>3858</v>
      </c>
      <c r="L221" s="59"/>
      <c r="M221" s="59">
        <v>2988.75</v>
      </c>
      <c r="N221" s="60">
        <f>PRODUCT(M221*100)+(M221*100*5%)</f>
        <v>313818.75</v>
      </c>
      <c r="O221" s="18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s="13" customFormat="1" ht="18" customHeight="1">
      <c r="A222" s="228" t="s">
        <v>8</v>
      </c>
      <c r="B222" s="102" t="s">
        <v>510</v>
      </c>
      <c r="C222" s="56" t="s">
        <v>558</v>
      </c>
      <c r="D222" s="56" t="s">
        <v>560</v>
      </c>
      <c r="E222" s="56"/>
      <c r="F222" s="56">
        <v>29</v>
      </c>
      <c r="G222" s="56">
        <v>177</v>
      </c>
      <c r="H222" s="56">
        <v>3</v>
      </c>
      <c r="I222" s="57" t="s">
        <v>24</v>
      </c>
      <c r="J222" s="57" t="s">
        <v>23</v>
      </c>
      <c r="K222" s="56">
        <v>1130</v>
      </c>
      <c r="L222" s="59"/>
      <c r="M222" s="59">
        <v>875.4</v>
      </c>
      <c r="N222" s="60">
        <f>PRODUCT(M222*100)+(M222*100*5%)</f>
        <v>91917</v>
      </c>
      <c r="O222" s="18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s="13" customFormat="1" ht="18" customHeight="1">
      <c r="A223" s="228" t="s">
        <v>25</v>
      </c>
      <c r="B223" s="102" t="s">
        <v>510</v>
      </c>
      <c r="C223" s="56" t="s">
        <v>558</v>
      </c>
      <c r="D223" s="56" t="s">
        <v>566</v>
      </c>
      <c r="E223" s="56"/>
      <c r="F223" s="56">
        <v>29</v>
      </c>
      <c r="G223" s="56">
        <v>173</v>
      </c>
      <c r="H223" s="56"/>
      <c r="I223" s="56" t="s">
        <v>131</v>
      </c>
      <c r="J223" s="57">
        <v>2</v>
      </c>
      <c r="K223" s="56" t="s">
        <v>556</v>
      </c>
      <c r="L223" s="62">
        <v>0.35</v>
      </c>
      <c r="M223" s="62">
        <v>0.62</v>
      </c>
      <c r="N223" s="60">
        <f>PRODUCT(M223*75)+(M223*75*25%)</f>
        <v>58.125</v>
      </c>
      <c r="O223" s="18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s="13" customFormat="1" ht="18" customHeight="1">
      <c r="A224" s="228" t="s">
        <v>25</v>
      </c>
      <c r="B224" s="102" t="s">
        <v>510</v>
      </c>
      <c r="C224" s="56" t="s">
        <v>558</v>
      </c>
      <c r="D224" s="56" t="s">
        <v>566</v>
      </c>
      <c r="E224" s="56"/>
      <c r="F224" s="56">
        <v>29</v>
      </c>
      <c r="G224" s="63" t="s">
        <v>561</v>
      </c>
      <c r="H224" s="56"/>
      <c r="I224" s="56" t="s">
        <v>117</v>
      </c>
      <c r="J224" s="57"/>
      <c r="K224" s="56" t="s">
        <v>553</v>
      </c>
      <c r="L224" s="62">
        <v>0</v>
      </c>
      <c r="M224" s="62">
        <v>0</v>
      </c>
      <c r="N224" s="60">
        <f>PRODUCT(M224*75)+(M224*75*25%)</f>
        <v>0</v>
      </c>
      <c r="O224" s="18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s="13" customFormat="1" ht="18" customHeight="1">
      <c r="A225" s="228" t="s">
        <v>25</v>
      </c>
      <c r="B225" s="102" t="s">
        <v>510</v>
      </c>
      <c r="C225" s="56" t="s">
        <v>558</v>
      </c>
      <c r="D225" s="56" t="s">
        <v>566</v>
      </c>
      <c r="E225" s="56"/>
      <c r="F225" s="56">
        <v>29</v>
      </c>
      <c r="G225" s="63" t="s">
        <v>562</v>
      </c>
      <c r="H225" s="56"/>
      <c r="I225" s="56" t="s">
        <v>57</v>
      </c>
      <c r="J225" s="57">
        <v>3</v>
      </c>
      <c r="K225" s="56" t="s">
        <v>554</v>
      </c>
      <c r="L225" s="62">
        <v>0.83</v>
      </c>
      <c r="M225" s="62">
        <v>0.97</v>
      </c>
      <c r="N225" s="60">
        <f>PRODUCT(M225*75)+(M225*75*25%)</f>
        <v>90.9375</v>
      </c>
      <c r="O225" s="18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s="13" customFormat="1" ht="18" customHeight="1">
      <c r="A226" s="226" t="s">
        <v>25</v>
      </c>
      <c r="B226" s="105" t="s">
        <v>510</v>
      </c>
      <c r="C226" s="80" t="s">
        <v>558</v>
      </c>
      <c r="D226" s="80" t="s">
        <v>566</v>
      </c>
      <c r="E226" s="80"/>
      <c r="F226" s="80">
        <v>29</v>
      </c>
      <c r="G226" s="143" t="s">
        <v>563</v>
      </c>
      <c r="H226" s="80"/>
      <c r="I226" s="80" t="s">
        <v>131</v>
      </c>
      <c r="J226" s="81">
        <v>2</v>
      </c>
      <c r="K226" s="80" t="s">
        <v>555</v>
      </c>
      <c r="L226" s="83">
        <v>2.96</v>
      </c>
      <c r="M226" s="83">
        <v>5.27</v>
      </c>
      <c r="N226" s="84">
        <f>PRODUCT(M226*75)+(M226*75*25%)</f>
        <v>494.06249999999994</v>
      </c>
      <c r="O226" s="189">
        <f>SUM(N220:N226)*4</f>
        <v>1886503.5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s="13" customFormat="1" ht="18" customHeight="1">
      <c r="A227" s="227" t="s">
        <v>8</v>
      </c>
      <c r="B227" s="100" t="s">
        <v>510</v>
      </c>
      <c r="C227" s="71" t="s">
        <v>134</v>
      </c>
      <c r="D227" s="71" t="s">
        <v>565</v>
      </c>
      <c r="E227" s="71">
        <v>16037</v>
      </c>
      <c r="F227" s="196">
        <v>40</v>
      </c>
      <c r="G227" s="71">
        <v>364</v>
      </c>
      <c r="H227" s="71">
        <v>6</v>
      </c>
      <c r="I227" s="72" t="s">
        <v>22</v>
      </c>
      <c r="J227" s="72" t="s">
        <v>23</v>
      </c>
      <c r="K227" s="71">
        <v>1757</v>
      </c>
      <c r="L227" s="74"/>
      <c r="M227" s="74">
        <v>1361.13</v>
      </c>
      <c r="N227" s="75">
        <f>PRODUCT(M227*100)+(M227*100*5%)</f>
        <v>142918.65</v>
      </c>
      <c r="O227" s="133">
        <f>PRODUCT(N227*4)</f>
        <v>571674.6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15" ht="12.75">
      <c r="A228" s="212" t="s">
        <v>567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43"/>
      <c r="N228" s="43"/>
      <c r="O228" s="219"/>
    </row>
    <row r="229" spans="1:36" ht="12.75">
      <c r="A229" s="160" t="s">
        <v>1</v>
      </c>
      <c r="B229" s="161" t="s">
        <v>479</v>
      </c>
      <c r="C229" s="161" t="s">
        <v>478</v>
      </c>
      <c r="D229" s="161" t="s">
        <v>477</v>
      </c>
      <c r="E229" s="161" t="s">
        <v>2</v>
      </c>
      <c r="F229" s="161" t="s">
        <v>3</v>
      </c>
      <c r="G229" s="162" t="s">
        <v>480</v>
      </c>
      <c r="H229" s="161" t="s">
        <v>4</v>
      </c>
      <c r="I229" s="160" t="s">
        <v>5</v>
      </c>
      <c r="J229" s="160" t="s">
        <v>6</v>
      </c>
      <c r="K229" s="160" t="s">
        <v>7</v>
      </c>
      <c r="L229" s="160" t="s">
        <v>455</v>
      </c>
      <c r="M229" s="163" t="s">
        <v>468</v>
      </c>
      <c r="N229" s="164" t="s">
        <v>508</v>
      </c>
      <c r="O229" s="165" t="s">
        <v>507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2.75">
      <c r="A230" s="166"/>
      <c r="B230" s="167"/>
      <c r="C230" s="167"/>
      <c r="D230" s="167"/>
      <c r="E230" s="166"/>
      <c r="F230" s="167"/>
      <c r="G230" s="168"/>
      <c r="H230" s="167"/>
      <c r="I230" s="166"/>
      <c r="J230" s="166"/>
      <c r="K230" s="166"/>
      <c r="L230" s="167" t="s">
        <v>509</v>
      </c>
      <c r="M230" s="169" t="s">
        <v>509</v>
      </c>
      <c r="N230" s="170" t="s">
        <v>509</v>
      </c>
      <c r="O230" s="171" t="s">
        <v>513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s="13" customFormat="1" ht="18" customHeight="1">
      <c r="A231" s="227" t="s">
        <v>8</v>
      </c>
      <c r="B231" s="100" t="s">
        <v>510</v>
      </c>
      <c r="C231" s="197" t="s">
        <v>603</v>
      </c>
      <c r="D231" s="71" t="s">
        <v>573</v>
      </c>
      <c r="E231" s="71">
        <v>7671</v>
      </c>
      <c r="F231" s="71">
        <v>47</v>
      </c>
      <c r="G231" s="71">
        <v>810</v>
      </c>
      <c r="H231" s="71"/>
      <c r="I231" s="72" t="s">
        <v>115</v>
      </c>
      <c r="J231" s="72" t="s">
        <v>23</v>
      </c>
      <c r="K231" s="71">
        <v>1437</v>
      </c>
      <c r="L231" s="74"/>
      <c r="M231" s="74">
        <v>1113.23</v>
      </c>
      <c r="N231" s="75">
        <f>PRODUCT(M231*100)+(M231*100*5%)</f>
        <v>116889.15</v>
      </c>
      <c r="O231" s="133">
        <f>PRODUCT(N231*4)</f>
        <v>467556.6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s="13" customFormat="1" ht="18" customHeight="1">
      <c r="A232" s="227" t="s">
        <v>8</v>
      </c>
      <c r="B232" s="71" t="s">
        <v>71</v>
      </c>
      <c r="C232" s="71" t="s">
        <v>241</v>
      </c>
      <c r="D232" s="71" t="s">
        <v>242</v>
      </c>
      <c r="E232" s="71">
        <v>1003460</v>
      </c>
      <c r="F232" s="71">
        <v>132</v>
      </c>
      <c r="G232" s="71">
        <v>1600</v>
      </c>
      <c r="H232" s="71"/>
      <c r="I232" s="72" t="s">
        <v>243</v>
      </c>
      <c r="J232" s="72">
        <v>2</v>
      </c>
      <c r="K232" s="71">
        <v>197</v>
      </c>
      <c r="L232" s="134"/>
      <c r="M232" s="134">
        <v>254.35</v>
      </c>
      <c r="N232" s="75">
        <f>PRODUCT(M232*100)+(M232*100*5%)</f>
        <v>26706.75</v>
      </c>
      <c r="O232" s="117">
        <f>206000000/1936.27*1.0797</f>
        <v>114869.41387306523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s="13" customFormat="1" ht="18" customHeight="1">
      <c r="A233" s="225" t="s">
        <v>8</v>
      </c>
      <c r="B233" s="154" t="s">
        <v>510</v>
      </c>
      <c r="C233" s="107" t="s">
        <v>497</v>
      </c>
      <c r="D233" s="107" t="s">
        <v>244</v>
      </c>
      <c r="E233" s="107">
        <v>657</v>
      </c>
      <c r="F233" s="107">
        <v>132</v>
      </c>
      <c r="G233" s="107">
        <v>1210</v>
      </c>
      <c r="H233" s="107">
        <v>1</v>
      </c>
      <c r="I233" s="109" t="s">
        <v>90</v>
      </c>
      <c r="J233" s="109">
        <v>6</v>
      </c>
      <c r="K233" s="107">
        <v>13</v>
      </c>
      <c r="L233" s="111"/>
      <c r="M233" s="111">
        <v>271.91</v>
      </c>
      <c r="N233" s="112">
        <f aca="true" t="shared" si="8" ref="N233:N238">PRODUCT(M233*34)+(M233*34*5%)</f>
        <v>9707.187</v>
      </c>
      <c r="O233" s="180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s="13" customFormat="1" ht="18" customHeight="1">
      <c r="A234" s="228" t="s">
        <v>8</v>
      </c>
      <c r="B234" s="102" t="s">
        <v>510</v>
      </c>
      <c r="C234" s="56" t="s">
        <v>497</v>
      </c>
      <c r="D234" s="56" t="s">
        <v>245</v>
      </c>
      <c r="E234" s="56">
        <v>657</v>
      </c>
      <c r="F234" s="56">
        <v>132</v>
      </c>
      <c r="G234" s="56">
        <v>1210</v>
      </c>
      <c r="H234" s="56">
        <v>2</v>
      </c>
      <c r="I234" s="57" t="s">
        <v>90</v>
      </c>
      <c r="J234" s="57">
        <v>6</v>
      </c>
      <c r="K234" s="56">
        <v>19</v>
      </c>
      <c r="L234" s="198"/>
      <c r="M234" s="198">
        <v>379.41</v>
      </c>
      <c r="N234" s="60">
        <f t="shared" si="8"/>
        <v>13544.937</v>
      </c>
      <c r="O234" s="18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s="13" customFormat="1" ht="18" customHeight="1">
      <c r="A235" s="228" t="s">
        <v>8</v>
      </c>
      <c r="B235" s="102" t="s">
        <v>510</v>
      </c>
      <c r="C235" s="56" t="s">
        <v>497</v>
      </c>
      <c r="D235" s="56" t="s">
        <v>246</v>
      </c>
      <c r="E235" s="56">
        <v>657</v>
      </c>
      <c r="F235" s="56">
        <v>132</v>
      </c>
      <c r="G235" s="56">
        <v>1210</v>
      </c>
      <c r="H235" s="56">
        <v>3</v>
      </c>
      <c r="I235" s="57" t="s">
        <v>90</v>
      </c>
      <c r="J235" s="57">
        <v>5</v>
      </c>
      <c r="K235" s="56">
        <v>21</v>
      </c>
      <c r="L235" s="198"/>
      <c r="M235" s="198">
        <v>377.43</v>
      </c>
      <c r="N235" s="60">
        <f t="shared" si="8"/>
        <v>13474.251</v>
      </c>
      <c r="O235" s="18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s="13" customFormat="1" ht="18" customHeight="1">
      <c r="A236" s="228" t="s">
        <v>8</v>
      </c>
      <c r="B236" s="102" t="s">
        <v>510</v>
      </c>
      <c r="C236" s="56" t="s">
        <v>497</v>
      </c>
      <c r="D236" s="56" t="s">
        <v>247</v>
      </c>
      <c r="E236" s="56">
        <v>657</v>
      </c>
      <c r="F236" s="56">
        <v>132</v>
      </c>
      <c r="G236" s="56">
        <v>1210</v>
      </c>
      <c r="H236" s="56">
        <v>4</v>
      </c>
      <c r="I236" s="57" t="s">
        <v>90</v>
      </c>
      <c r="J236" s="57">
        <v>6</v>
      </c>
      <c r="K236" s="56">
        <v>18</v>
      </c>
      <c r="L236" s="198"/>
      <c r="M236" s="198">
        <v>376.5</v>
      </c>
      <c r="N236" s="60">
        <f t="shared" si="8"/>
        <v>13441.05</v>
      </c>
      <c r="O236" s="18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s="13" customFormat="1" ht="18" customHeight="1">
      <c r="A237" s="228" t="s">
        <v>8</v>
      </c>
      <c r="B237" s="102" t="s">
        <v>510</v>
      </c>
      <c r="C237" s="56" t="s">
        <v>497</v>
      </c>
      <c r="D237" s="56" t="s">
        <v>248</v>
      </c>
      <c r="E237" s="56">
        <v>657</v>
      </c>
      <c r="F237" s="56">
        <v>132</v>
      </c>
      <c r="G237" s="56">
        <v>1211</v>
      </c>
      <c r="H237" s="56">
        <v>8</v>
      </c>
      <c r="I237" s="57" t="s">
        <v>90</v>
      </c>
      <c r="J237" s="57">
        <v>5</v>
      </c>
      <c r="K237" s="56">
        <v>34</v>
      </c>
      <c r="L237" s="198"/>
      <c r="M237" s="198">
        <v>611.07</v>
      </c>
      <c r="N237" s="60">
        <f t="shared" si="8"/>
        <v>21815.199</v>
      </c>
      <c r="O237" s="18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s="13" customFormat="1" ht="18" customHeight="1">
      <c r="A238" s="226" t="s">
        <v>8</v>
      </c>
      <c r="B238" s="105" t="s">
        <v>510</v>
      </c>
      <c r="C238" s="80" t="s">
        <v>497</v>
      </c>
      <c r="D238" s="80" t="s">
        <v>249</v>
      </c>
      <c r="E238" s="80">
        <v>657</v>
      </c>
      <c r="F238" s="80">
        <v>132</v>
      </c>
      <c r="G238" s="80">
        <v>1211</v>
      </c>
      <c r="H238" s="80">
        <v>9</v>
      </c>
      <c r="I238" s="81" t="s">
        <v>90</v>
      </c>
      <c r="J238" s="81">
        <v>2</v>
      </c>
      <c r="K238" s="80">
        <v>51</v>
      </c>
      <c r="L238" s="114"/>
      <c r="M238" s="114">
        <v>582.1</v>
      </c>
      <c r="N238" s="84">
        <f t="shared" si="8"/>
        <v>20780.97</v>
      </c>
      <c r="O238" s="189">
        <f>SUM(N233:N238)*4</f>
        <v>371054.37600000005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s="13" customFormat="1" ht="18" customHeight="1">
      <c r="A239" s="225" t="s">
        <v>8</v>
      </c>
      <c r="B239" s="154" t="s">
        <v>510</v>
      </c>
      <c r="C239" s="107" t="s">
        <v>504</v>
      </c>
      <c r="D239" s="107" t="s">
        <v>574</v>
      </c>
      <c r="E239" s="107"/>
      <c r="F239" s="107">
        <v>132</v>
      </c>
      <c r="G239" s="107">
        <v>258</v>
      </c>
      <c r="H239" s="107">
        <v>3</v>
      </c>
      <c r="I239" s="109" t="s">
        <v>79</v>
      </c>
      <c r="J239" s="109" t="s">
        <v>23</v>
      </c>
      <c r="K239" s="107">
        <v>49885</v>
      </c>
      <c r="L239" s="142"/>
      <c r="M239" s="142">
        <v>46374.09</v>
      </c>
      <c r="N239" s="112">
        <f>PRODUCT(M239*100)+(M239*100*5%)</f>
        <v>4869279.45</v>
      </c>
      <c r="O239" s="199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s="16" customFormat="1" ht="18" customHeight="1">
      <c r="A240" s="228" t="s">
        <v>25</v>
      </c>
      <c r="B240" s="102" t="s">
        <v>510</v>
      </c>
      <c r="C240" s="56" t="s">
        <v>504</v>
      </c>
      <c r="D240" s="56" t="s">
        <v>577</v>
      </c>
      <c r="E240" s="56">
        <v>15923</v>
      </c>
      <c r="F240" s="56">
        <v>132</v>
      </c>
      <c r="G240" s="56">
        <v>259</v>
      </c>
      <c r="H240" s="56"/>
      <c r="I240" s="57" t="s">
        <v>203</v>
      </c>
      <c r="J240" s="57">
        <v>1</v>
      </c>
      <c r="K240" s="56" t="s">
        <v>568</v>
      </c>
      <c r="L240" s="62">
        <v>51.6</v>
      </c>
      <c r="M240" s="62">
        <v>82.32</v>
      </c>
      <c r="N240" s="60">
        <f>PRODUCT(M240*75)+(M240*75*25%)</f>
        <v>7717.499999999999</v>
      </c>
      <c r="O240" s="18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s="16" customFormat="1" ht="18" customHeight="1">
      <c r="A241" s="228" t="s">
        <v>25</v>
      </c>
      <c r="B241" s="102" t="s">
        <v>510</v>
      </c>
      <c r="C241" s="56" t="s">
        <v>504</v>
      </c>
      <c r="D241" s="56" t="s">
        <v>577</v>
      </c>
      <c r="E241" s="56">
        <v>8387</v>
      </c>
      <c r="F241" s="56">
        <v>132</v>
      </c>
      <c r="G241" s="56">
        <v>2958</v>
      </c>
      <c r="H241" s="56"/>
      <c r="I241" s="57" t="s">
        <v>174</v>
      </c>
      <c r="J241" s="57"/>
      <c r="K241" s="56" t="s">
        <v>251</v>
      </c>
      <c r="L241" s="62">
        <v>0</v>
      </c>
      <c r="M241" s="62">
        <v>0</v>
      </c>
      <c r="N241" s="60">
        <v>0</v>
      </c>
      <c r="O241" s="18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s="16" customFormat="1" ht="18" customHeight="1">
      <c r="A242" s="228" t="s">
        <v>25</v>
      </c>
      <c r="B242" s="102" t="s">
        <v>510</v>
      </c>
      <c r="C242" s="56" t="s">
        <v>504</v>
      </c>
      <c r="D242" s="56" t="s">
        <v>577</v>
      </c>
      <c r="E242" s="56">
        <v>8387</v>
      </c>
      <c r="F242" s="56">
        <v>132</v>
      </c>
      <c r="G242" s="56">
        <v>2960</v>
      </c>
      <c r="H242" s="56"/>
      <c r="I242" s="57" t="s">
        <v>174</v>
      </c>
      <c r="J242" s="57"/>
      <c r="K242" s="56" t="s">
        <v>252</v>
      </c>
      <c r="L242" s="62">
        <v>0</v>
      </c>
      <c r="M242" s="62">
        <v>0</v>
      </c>
      <c r="N242" s="60">
        <v>0</v>
      </c>
      <c r="O242" s="18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s="16" customFormat="1" ht="18" customHeight="1">
      <c r="A243" s="228" t="s">
        <v>569</v>
      </c>
      <c r="B243" s="102" t="s">
        <v>510</v>
      </c>
      <c r="C243" s="56" t="s">
        <v>504</v>
      </c>
      <c r="D243" s="56" t="s">
        <v>577</v>
      </c>
      <c r="E243" s="56"/>
      <c r="F243" s="56">
        <v>147</v>
      </c>
      <c r="G243" s="56">
        <v>1972</v>
      </c>
      <c r="H243" s="56"/>
      <c r="I243" s="185" t="s">
        <v>570</v>
      </c>
      <c r="J243" s="57"/>
      <c r="K243" s="56" t="s">
        <v>571</v>
      </c>
      <c r="L243" s="62">
        <v>0</v>
      </c>
      <c r="M243" s="62">
        <v>0</v>
      </c>
      <c r="N243" s="60">
        <v>0</v>
      </c>
      <c r="O243" s="18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s="16" customFormat="1" ht="18" customHeight="1">
      <c r="A244" s="226" t="s">
        <v>569</v>
      </c>
      <c r="B244" s="105" t="s">
        <v>510</v>
      </c>
      <c r="C244" s="80" t="s">
        <v>504</v>
      </c>
      <c r="D244" s="80" t="s">
        <v>577</v>
      </c>
      <c r="E244" s="80"/>
      <c r="F244" s="80">
        <v>147</v>
      </c>
      <c r="G244" s="80">
        <v>1973</v>
      </c>
      <c r="H244" s="80"/>
      <c r="I244" s="200" t="s">
        <v>570</v>
      </c>
      <c r="J244" s="81"/>
      <c r="K244" s="80" t="s">
        <v>572</v>
      </c>
      <c r="L244" s="83">
        <v>0</v>
      </c>
      <c r="M244" s="83">
        <v>0</v>
      </c>
      <c r="N244" s="84">
        <v>0</v>
      </c>
      <c r="O244" s="189">
        <f>SUM(N239:N244)*5</f>
        <v>24384984.75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15" ht="12.75">
      <c r="A245" s="212" t="s">
        <v>578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43"/>
      <c r="N245" s="43"/>
      <c r="O245" s="219"/>
    </row>
    <row r="246" spans="1:36" ht="12.75">
      <c r="A246" s="160" t="s">
        <v>1</v>
      </c>
      <c r="B246" s="161" t="s">
        <v>479</v>
      </c>
      <c r="C246" s="161" t="s">
        <v>478</v>
      </c>
      <c r="D246" s="161" t="s">
        <v>477</v>
      </c>
      <c r="E246" s="161" t="s">
        <v>2</v>
      </c>
      <c r="F246" s="161" t="s">
        <v>3</v>
      </c>
      <c r="G246" s="162" t="s">
        <v>480</v>
      </c>
      <c r="H246" s="161" t="s">
        <v>4</v>
      </c>
      <c r="I246" s="160" t="s">
        <v>5</v>
      </c>
      <c r="J246" s="160" t="s">
        <v>6</v>
      </c>
      <c r="K246" s="160" t="s">
        <v>7</v>
      </c>
      <c r="L246" s="160" t="s">
        <v>455</v>
      </c>
      <c r="M246" s="163" t="s">
        <v>468</v>
      </c>
      <c r="N246" s="164" t="s">
        <v>508</v>
      </c>
      <c r="O246" s="165" t="s">
        <v>507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2.75">
      <c r="A247" s="166"/>
      <c r="B247" s="167"/>
      <c r="C247" s="167"/>
      <c r="D247" s="167"/>
      <c r="E247" s="166"/>
      <c r="F247" s="167"/>
      <c r="G247" s="168"/>
      <c r="H247" s="167"/>
      <c r="I247" s="166"/>
      <c r="J247" s="166"/>
      <c r="K247" s="166"/>
      <c r="L247" s="167" t="s">
        <v>509</v>
      </c>
      <c r="M247" s="169" t="s">
        <v>509</v>
      </c>
      <c r="N247" s="170" t="s">
        <v>509</v>
      </c>
      <c r="O247" s="171" t="s">
        <v>513</v>
      </c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s="18" customFormat="1" ht="18" customHeight="1">
      <c r="A248" s="232" t="s">
        <v>8</v>
      </c>
      <c r="B248" s="100" t="s">
        <v>510</v>
      </c>
      <c r="C248" s="100" t="s">
        <v>601</v>
      </c>
      <c r="D248" s="100" t="s">
        <v>604</v>
      </c>
      <c r="E248" s="100"/>
      <c r="F248" s="100">
        <v>39</v>
      </c>
      <c r="G248" s="100">
        <v>1101</v>
      </c>
      <c r="H248" s="100"/>
      <c r="I248" s="101" t="s">
        <v>22</v>
      </c>
      <c r="J248" s="101" t="s">
        <v>23</v>
      </c>
      <c r="K248" s="100">
        <v>21825</v>
      </c>
      <c r="L248" s="131"/>
      <c r="M248" s="74">
        <v>16907.61</v>
      </c>
      <c r="N248" s="75">
        <f>PRODUCT(M248*100)+(M248*100*5%)</f>
        <v>1775299.05</v>
      </c>
      <c r="O248" s="133">
        <f>PRODUCT(N248*4)</f>
        <v>7101196.2</v>
      </c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1:15" ht="12.75">
      <c r="A249" s="212" t="s">
        <v>579</v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43"/>
      <c r="N249" s="43"/>
      <c r="O249" s="219"/>
    </row>
    <row r="250" spans="1:36" ht="12.75">
      <c r="A250" s="160" t="s">
        <v>1</v>
      </c>
      <c r="B250" s="161" t="s">
        <v>479</v>
      </c>
      <c r="C250" s="161" t="s">
        <v>478</v>
      </c>
      <c r="D250" s="161" t="s">
        <v>477</v>
      </c>
      <c r="E250" s="161" t="s">
        <v>2</v>
      </c>
      <c r="F250" s="161" t="s">
        <v>3</v>
      </c>
      <c r="G250" s="162" t="s">
        <v>480</v>
      </c>
      <c r="H250" s="161" t="s">
        <v>4</v>
      </c>
      <c r="I250" s="160" t="s">
        <v>5</v>
      </c>
      <c r="J250" s="160" t="s">
        <v>6</v>
      </c>
      <c r="K250" s="160" t="s">
        <v>7</v>
      </c>
      <c r="L250" s="160" t="s">
        <v>455</v>
      </c>
      <c r="M250" s="163" t="s">
        <v>468</v>
      </c>
      <c r="N250" s="164" t="s">
        <v>508</v>
      </c>
      <c r="O250" s="165" t="s">
        <v>507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2.75">
      <c r="A251" s="166"/>
      <c r="B251" s="167"/>
      <c r="C251" s="167"/>
      <c r="D251" s="167"/>
      <c r="E251" s="166"/>
      <c r="F251" s="167"/>
      <c r="G251" s="168"/>
      <c r="H251" s="167"/>
      <c r="I251" s="166"/>
      <c r="J251" s="166"/>
      <c r="K251" s="166"/>
      <c r="L251" s="167" t="s">
        <v>509</v>
      </c>
      <c r="M251" s="169" t="s">
        <v>509</v>
      </c>
      <c r="N251" s="170" t="s">
        <v>509</v>
      </c>
      <c r="O251" s="171" t="s">
        <v>513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s="13" customFormat="1" ht="18" customHeight="1">
      <c r="A252" s="225" t="s">
        <v>8</v>
      </c>
      <c r="B252" s="154" t="s">
        <v>510</v>
      </c>
      <c r="C252" s="107" t="s">
        <v>602</v>
      </c>
      <c r="D252" s="107" t="s">
        <v>255</v>
      </c>
      <c r="E252" s="107">
        <v>1019470</v>
      </c>
      <c r="F252" s="107">
        <v>87</v>
      </c>
      <c r="G252" s="107">
        <v>246</v>
      </c>
      <c r="H252" s="107"/>
      <c r="I252" s="109" t="s">
        <v>79</v>
      </c>
      <c r="J252" s="109" t="s">
        <v>23</v>
      </c>
      <c r="K252" s="107">
        <v>30863</v>
      </c>
      <c r="L252" s="142"/>
      <c r="M252" s="142">
        <v>28690.86</v>
      </c>
      <c r="N252" s="112">
        <f>PRODUCT(M252*100)+(M252*100*5%)</f>
        <v>3012540.3</v>
      </c>
      <c r="O252" s="20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s="13" customFormat="1" ht="18" customHeight="1">
      <c r="A253" s="228" t="s">
        <v>8</v>
      </c>
      <c r="B253" s="102" t="s">
        <v>510</v>
      </c>
      <c r="C253" s="56" t="s">
        <v>602</v>
      </c>
      <c r="D253" s="56" t="s">
        <v>256</v>
      </c>
      <c r="E253" s="56">
        <v>1019470</v>
      </c>
      <c r="F253" s="56">
        <v>87</v>
      </c>
      <c r="G253" s="56">
        <v>293</v>
      </c>
      <c r="H253" s="56">
        <v>1</v>
      </c>
      <c r="I253" s="57" t="s">
        <v>74</v>
      </c>
      <c r="J253" s="57">
        <v>4</v>
      </c>
      <c r="K253" s="56">
        <v>29</v>
      </c>
      <c r="L253" s="183"/>
      <c r="M253" s="183">
        <v>44.93</v>
      </c>
      <c r="N253" s="60">
        <f>PRODUCT(M253*100)+(M253*100*5%)</f>
        <v>4717.65</v>
      </c>
      <c r="O253" s="204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s="13" customFormat="1" ht="18" customHeight="1">
      <c r="A254" s="228" t="s">
        <v>8</v>
      </c>
      <c r="B254" s="102" t="s">
        <v>510</v>
      </c>
      <c r="C254" s="56" t="s">
        <v>602</v>
      </c>
      <c r="D254" s="56" t="s">
        <v>257</v>
      </c>
      <c r="E254" s="56">
        <v>1019470</v>
      </c>
      <c r="F254" s="56">
        <v>87</v>
      </c>
      <c r="G254" s="56">
        <v>293</v>
      </c>
      <c r="H254" s="56">
        <v>2</v>
      </c>
      <c r="I254" s="57" t="s">
        <v>54</v>
      </c>
      <c r="J254" s="57">
        <v>3</v>
      </c>
      <c r="K254" s="56">
        <v>7</v>
      </c>
      <c r="L254" s="183"/>
      <c r="M254" s="183">
        <v>379.6</v>
      </c>
      <c r="N254" s="60">
        <f>PRODUCT(M254*100)+(M254*100*5%)</f>
        <v>39858</v>
      </c>
      <c r="O254" s="20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s="13" customFormat="1" ht="18" customHeight="1">
      <c r="A255" s="228" t="s">
        <v>8</v>
      </c>
      <c r="B255" s="102" t="s">
        <v>510</v>
      </c>
      <c r="C255" s="56" t="s">
        <v>602</v>
      </c>
      <c r="D255" s="56" t="s">
        <v>258</v>
      </c>
      <c r="E255" s="56">
        <v>1019470</v>
      </c>
      <c r="F255" s="56">
        <v>87</v>
      </c>
      <c r="G255" s="56">
        <v>293</v>
      </c>
      <c r="H255" s="56">
        <v>3</v>
      </c>
      <c r="I255" s="57" t="s">
        <v>87</v>
      </c>
      <c r="J255" s="57">
        <v>1</v>
      </c>
      <c r="K255" s="56">
        <v>13.5</v>
      </c>
      <c r="L255" s="183"/>
      <c r="M255" s="183">
        <v>627.5</v>
      </c>
      <c r="N255" s="60">
        <f>PRODUCT(M255*100)+(M255*100*5%)</f>
        <v>65887.5</v>
      </c>
      <c r="O255" s="204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s="13" customFormat="1" ht="18" customHeight="1">
      <c r="A256" s="226" t="s">
        <v>25</v>
      </c>
      <c r="B256" s="105" t="s">
        <v>510</v>
      </c>
      <c r="C256" s="129" t="s">
        <v>259</v>
      </c>
      <c r="D256" s="80" t="s">
        <v>260</v>
      </c>
      <c r="E256" s="80">
        <v>107210</v>
      </c>
      <c r="F256" s="80">
        <v>87</v>
      </c>
      <c r="G256" s="80">
        <v>93</v>
      </c>
      <c r="H256" s="80"/>
      <c r="I256" s="80" t="s">
        <v>57</v>
      </c>
      <c r="J256" s="81">
        <v>3</v>
      </c>
      <c r="K256" s="80" t="s">
        <v>261</v>
      </c>
      <c r="L256" s="83">
        <v>4.09</v>
      </c>
      <c r="M256" s="83">
        <v>3.41</v>
      </c>
      <c r="N256" s="84">
        <f>PRODUCT(M256*75)+(M256*75*25%)</f>
        <v>319.6875</v>
      </c>
      <c r="O256" s="189">
        <f>SUM(N252:N255)*3</f>
        <v>9369010.35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s="13" customFormat="1" ht="18" customHeight="1">
      <c r="A257" s="225" t="s">
        <v>8</v>
      </c>
      <c r="B257" s="154" t="s">
        <v>510</v>
      </c>
      <c r="C257" s="107" t="s">
        <v>497</v>
      </c>
      <c r="D257" s="107" t="s">
        <v>262</v>
      </c>
      <c r="E257" s="107">
        <v>1019470</v>
      </c>
      <c r="F257" s="107">
        <v>112</v>
      </c>
      <c r="G257" s="107">
        <v>332</v>
      </c>
      <c r="H257" s="107">
        <v>1</v>
      </c>
      <c r="I257" s="109" t="s">
        <v>100</v>
      </c>
      <c r="J257" s="109">
        <v>2</v>
      </c>
      <c r="K257" s="107">
        <v>3</v>
      </c>
      <c r="L257" s="136"/>
      <c r="M257" s="136">
        <v>91.41</v>
      </c>
      <c r="N257" s="112">
        <f>PRODUCT(M257*100)+(M257*100*5%)</f>
        <v>9598.05</v>
      </c>
      <c r="O257" s="20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s="13" customFormat="1" ht="18" customHeight="1">
      <c r="A258" s="228" t="s">
        <v>8</v>
      </c>
      <c r="B258" s="102" t="s">
        <v>510</v>
      </c>
      <c r="C258" s="56" t="s">
        <v>497</v>
      </c>
      <c r="D258" s="56" t="s">
        <v>262</v>
      </c>
      <c r="E258" s="56">
        <v>1019470</v>
      </c>
      <c r="F258" s="56">
        <v>112</v>
      </c>
      <c r="G258" s="56">
        <v>332</v>
      </c>
      <c r="H258" s="56">
        <v>2</v>
      </c>
      <c r="I258" s="57" t="s">
        <v>115</v>
      </c>
      <c r="J258" s="57" t="s">
        <v>23</v>
      </c>
      <c r="K258" s="56">
        <v>1022</v>
      </c>
      <c r="L258" s="59"/>
      <c r="M258" s="59">
        <v>791.73</v>
      </c>
      <c r="N258" s="60">
        <f>PRODUCT(M258*100)+(M258*100*5%)</f>
        <v>83131.65</v>
      </c>
      <c r="O258" s="204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s="13" customFormat="1" ht="18" customHeight="1">
      <c r="A259" s="228" t="s">
        <v>8</v>
      </c>
      <c r="B259" s="102" t="s">
        <v>510</v>
      </c>
      <c r="C259" s="56" t="s">
        <v>497</v>
      </c>
      <c r="D259" s="56" t="s">
        <v>263</v>
      </c>
      <c r="E259" s="56">
        <v>1019470</v>
      </c>
      <c r="F259" s="56">
        <v>112</v>
      </c>
      <c r="G259" s="56">
        <v>332</v>
      </c>
      <c r="H259" s="56">
        <v>3</v>
      </c>
      <c r="I259" s="57" t="s">
        <v>100</v>
      </c>
      <c r="J259" s="57">
        <v>2</v>
      </c>
      <c r="K259" s="56">
        <v>3.5</v>
      </c>
      <c r="L259" s="183"/>
      <c r="M259" s="183">
        <v>106.65</v>
      </c>
      <c r="N259" s="60">
        <f>PRODUCT(M259*100)+(M259*100*5%)</f>
        <v>11198.25</v>
      </c>
      <c r="O259" s="204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s="13" customFormat="1" ht="18" customHeight="1">
      <c r="A260" s="226" t="s">
        <v>25</v>
      </c>
      <c r="B260" s="105" t="s">
        <v>510</v>
      </c>
      <c r="C260" s="80" t="s">
        <v>497</v>
      </c>
      <c r="D260" s="80" t="s">
        <v>586</v>
      </c>
      <c r="E260" s="80">
        <v>107210</v>
      </c>
      <c r="F260" s="80">
        <v>112</v>
      </c>
      <c r="G260" s="80">
        <v>331</v>
      </c>
      <c r="H260" s="80"/>
      <c r="I260" s="80" t="s">
        <v>57</v>
      </c>
      <c r="J260" s="81">
        <v>3</v>
      </c>
      <c r="K260" s="80" t="s">
        <v>264</v>
      </c>
      <c r="L260" s="83">
        <v>3.3</v>
      </c>
      <c r="M260" s="83">
        <v>2.75</v>
      </c>
      <c r="N260" s="84">
        <f>PRODUCT(M260*75)+(M260*75*25%)</f>
        <v>257.8125</v>
      </c>
      <c r="O260" s="189">
        <f>SUM(N257:N260)*4</f>
        <v>416743.05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s="13" customFormat="1" ht="18" customHeight="1">
      <c r="A261" s="227" t="s">
        <v>8</v>
      </c>
      <c r="B261" s="100" t="s">
        <v>510</v>
      </c>
      <c r="C261" s="71" t="s">
        <v>265</v>
      </c>
      <c r="D261" s="71" t="s">
        <v>492</v>
      </c>
      <c r="E261" s="71">
        <v>1019470</v>
      </c>
      <c r="F261" s="71">
        <v>90</v>
      </c>
      <c r="G261" s="196">
        <v>137</v>
      </c>
      <c r="H261" s="71"/>
      <c r="I261" s="72" t="s">
        <v>24</v>
      </c>
      <c r="J261" s="72" t="s">
        <v>23</v>
      </c>
      <c r="K261" s="71">
        <v>13919</v>
      </c>
      <c r="L261" s="74"/>
      <c r="M261" s="74">
        <v>11501.69</v>
      </c>
      <c r="N261" s="75">
        <f aca="true" t="shared" si="9" ref="N261:N268">PRODUCT(M261*100)+(M261*100*5%)</f>
        <v>1207677.45</v>
      </c>
      <c r="O261" s="117">
        <f>3000000000/1936.27*1.0797</f>
        <v>1672855.5418407558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s="13" customFormat="1" ht="18" customHeight="1">
      <c r="A262" s="227" t="s">
        <v>8</v>
      </c>
      <c r="B262" s="71" t="s">
        <v>71</v>
      </c>
      <c r="C262" s="71" t="s">
        <v>95</v>
      </c>
      <c r="D262" s="71" t="s">
        <v>266</v>
      </c>
      <c r="E262" s="71">
        <v>1019470</v>
      </c>
      <c r="F262" s="71">
        <v>222</v>
      </c>
      <c r="G262" s="71">
        <v>438</v>
      </c>
      <c r="H262" s="71">
        <v>3</v>
      </c>
      <c r="I262" s="72" t="s">
        <v>77</v>
      </c>
      <c r="J262" s="72">
        <v>2</v>
      </c>
      <c r="K262" s="71">
        <v>2</v>
      </c>
      <c r="L262" s="134"/>
      <c r="M262" s="134">
        <v>82.63</v>
      </c>
      <c r="N262" s="75">
        <f t="shared" si="9"/>
        <v>8676.15</v>
      </c>
      <c r="O262" s="117">
        <f>27000000/1936.27*1.0797</f>
        <v>15055.699876566803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s="13" customFormat="1" ht="18" customHeight="1">
      <c r="A263" s="227" t="s">
        <v>8</v>
      </c>
      <c r="B263" s="71" t="s">
        <v>71</v>
      </c>
      <c r="C263" s="71" t="s">
        <v>267</v>
      </c>
      <c r="D263" s="71" t="s">
        <v>268</v>
      </c>
      <c r="E263" s="71">
        <v>1019470</v>
      </c>
      <c r="F263" s="71">
        <v>222</v>
      </c>
      <c r="G263" s="71">
        <v>829</v>
      </c>
      <c r="H263" s="71">
        <v>3</v>
      </c>
      <c r="I263" s="72" t="s">
        <v>100</v>
      </c>
      <c r="J263" s="72">
        <v>2</v>
      </c>
      <c r="K263" s="71">
        <v>4</v>
      </c>
      <c r="L263" s="134"/>
      <c r="M263" s="134">
        <v>121.88</v>
      </c>
      <c r="N263" s="75">
        <f t="shared" si="9"/>
        <v>12797.4</v>
      </c>
      <c r="O263" s="117">
        <f>56000000/1936.27*1.0797</f>
        <v>31226.636781027442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s="13" customFormat="1" ht="18" customHeight="1">
      <c r="A264" s="227" t="s">
        <v>8</v>
      </c>
      <c r="B264" s="71" t="s">
        <v>71</v>
      </c>
      <c r="C264" s="71" t="s">
        <v>95</v>
      </c>
      <c r="D264" s="71" t="s">
        <v>269</v>
      </c>
      <c r="E264" s="71">
        <v>1019470</v>
      </c>
      <c r="F264" s="71">
        <v>222</v>
      </c>
      <c r="G264" s="71">
        <v>829</v>
      </c>
      <c r="H264" s="71">
        <v>6</v>
      </c>
      <c r="I264" s="72" t="s">
        <v>77</v>
      </c>
      <c r="J264" s="72">
        <v>2</v>
      </c>
      <c r="K264" s="71">
        <v>1</v>
      </c>
      <c r="L264" s="134"/>
      <c r="M264" s="134">
        <v>41.32</v>
      </c>
      <c r="N264" s="75">
        <f t="shared" si="9"/>
        <v>4338.6</v>
      </c>
      <c r="O264" s="117">
        <f>18000000/1936.27*1.0797</f>
        <v>10037.133251044535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s="13" customFormat="1" ht="18" customHeight="1">
      <c r="A265" s="227" t="s">
        <v>8</v>
      </c>
      <c r="B265" s="71" t="s">
        <v>71</v>
      </c>
      <c r="C265" s="71" t="s">
        <v>270</v>
      </c>
      <c r="D265" s="71" t="s">
        <v>271</v>
      </c>
      <c r="E265" s="71">
        <v>1019470</v>
      </c>
      <c r="F265" s="71">
        <v>222</v>
      </c>
      <c r="G265" s="71">
        <v>912</v>
      </c>
      <c r="H265" s="71">
        <v>1</v>
      </c>
      <c r="I265" s="72" t="s">
        <v>77</v>
      </c>
      <c r="J265" s="72">
        <v>1</v>
      </c>
      <c r="K265" s="71">
        <v>1.5</v>
      </c>
      <c r="L265" s="134"/>
      <c r="M265" s="134">
        <v>52.68</v>
      </c>
      <c r="N265" s="75">
        <f>PRODUCT(M265*100)+(M265*100*5%)</f>
        <v>5531.4</v>
      </c>
      <c r="O265" s="117">
        <f>15000000/1936.27*1.0797</f>
        <v>8364.27770920378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s="13" customFormat="1" ht="18" customHeight="1">
      <c r="A266" s="227"/>
      <c r="B266" s="71"/>
      <c r="C266" s="71"/>
      <c r="D266" s="71"/>
      <c r="E266" s="71"/>
      <c r="F266" s="71"/>
      <c r="G266" s="71"/>
      <c r="H266" s="71"/>
      <c r="I266" s="72"/>
      <c r="J266" s="72"/>
      <c r="K266" s="71"/>
      <c r="L266" s="134"/>
      <c r="M266" s="134"/>
      <c r="N266" s="75"/>
      <c r="O266" s="11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s="13" customFormat="1" ht="18" customHeight="1">
      <c r="A267" s="227" t="s">
        <v>8</v>
      </c>
      <c r="B267" s="71" t="s">
        <v>71</v>
      </c>
      <c r="C267" s="71" t="s">
        <v>272</v>
      </c>
      <c r="D267" s="71" t="s">
        <v>273</v>
      </c>
      <c r="E267" s="71">
        <v>1019470</v>
      </c>
      <c r="F267" s="71">
        <v>222</v>
      </c>
      <c r="G267" s="71">
        <v>1181</v>
      </c>
      <c r="H267" s="71">
        <v>1</v>
      </c>
      <c r="I267" s="72" t="s">
        <v>77</v>
      </c>
      <c r="J267" s="72">
        <v>2</v>
      </c>
      <c r="K267" s="71">
        <v>1</v>
      </c>
      <c r="L267" s="134"/>
      <c r="M267" s="134">
        <v>41.32</v>
      </c>
      <c r="N267" s="75">
        <f t="shared" si="9"/>
        <v>4338.6</v>
      </c>
      <c r="O267" s="117">
        <f>21000000/1936.27*1.0797</f>
        <v>11709.988792885291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s="13" customFormat="1" ht="18" customHeight="1">
      <c r="A268" s="225" t="s">
        <v>8</v>
      </c>
      <c r="B268" s="107" t="s">
        <v>510</v>
      </c>
      <c r="C268" s="107" t="s">
        <v>587</v>
      </c>
      <c r="D268" s="107" t="s">
        <v>274</v>
      </c>
      <c r="E268" s="107">
        <v>1019470</v>
      </c>
      <c r="F268" s="107">
        <v>147</v>
      </c>
      <c r="G268" s="107">
        <v>817</v>
      </c>
      <c r="H268" s="107">
        <v>2</v>
      </c>
      <c r="I268" s="109" t="s">
        <v>79</v>
      </c>
      <c r="J268" s="109" t="s">
        <v>23</v>
      </c>
      <c r="K268" s="107">
        <v>31540</v>
      </c>
      <c r="L268" s="142"/>
      <c r="M268" s="142">
        <v>29320.21</v>
      </c>
      <c r="N268" s="112">
        <f t="shared" si="9"/>
        <v>3078622.05</v>
      </c>
      <c r="O268" s="20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s="13" customFormat="1" ht="18" customHeight="1">
      <c r="A269" s="226" t="s">
        <v>8</v>
      </c>
      <c r="B269" s="80" t="s">
        <v>510</v>
      </c>
      <c r="C269" s="80" t="s">
        <v>587</v>
      </c>
      <c r="D269" s="80" t="s">
        <v>275</v>
      </c>
      <c r="E269" s="80">
        <v>1019470</v>
      </c>
      <c r="F269" s="80">
        <v>147</v>
      </c>
      <c r="G269" s="80">
        <v>817</v>
      </c>
      <c r="H269" s="80">
        <v>1</v>
      </c>
      <c r="I269" s="81" t="s">
        <v>90</v>
      </c>
      <c r="J269" s="81">
        <v>4</v>
      </c>
      <c r="K269" s="80">
        <v>33</v>
      </c>
      <c r="L269" s="114"/>
      <c r="M269" s="114">
        <v>622.07</v>
      </c>
      <c r="N269" s="84">
        <f>PRODUCT(M269*34)+(M269*34*5%)</f>
        <v>22207.899</v>
      </c>
      <c r="O269" s="189">
        <f>SUM(N268:N269)*5</f>
        <v>15504149.745000001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s="13" customFormat="1" ht="18" customHeight="1">
      <c r="A270" s="227" t="s">
        <v>25</v>
      </c>
      <c r="B270" s="71" t="s">
        <v>71</v>
      </c>
      <c r="C270" s="71" t="s">
        <v>95</v>
      </c>
      <c r="D270" s="71" t="s">
        <v>276</v>
      </c>
      <c r="E270" s="71">
        <v>111491</v>
      </c>
      <c r="F270" s="71">
        <v>188</v>
      </c>
      <c r="G270" s="71">
        <v>95</v>
      </c>
      <c r="H270" s="71"/>
      <c r="I270" s="71" t="s">
        <v>57</v>
      </c>
      <c r="J270" s="72">
        <v>4</v>
      </c>
      <c r="K270" s="201" t="s">
        <v>277</v>
      </c>
      <c r="L270" s="88">
        <v>8.04</v>
      </c>
      <c r="M270" s="88">
        <v>7.04</v>
      </c>
      <c r="N270" s="75">
        <f>PRODUCT(M270*75)+(M270*75*25%)</f>
        <v>660</v>
      </c>
      <c r="O270" s="117">
        <f>8000000/1936.27*1.0797</f>
        <v>4460.948111575349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s="13" customFormat="1" ht="18" customHeight="1">
      <c r="A271" s="225" t="s">
        <v>25</v>
      </c>
      <c r="B271" s="107" t="s">
        <v>71</v>
      </c>
      <c r="C271" s="107" t="s">
        <v>95</v>
      </c>
      <c r="D271" s="107" t="s">
        <v>278</v>
      </c>
      <c r="E271" s="107">
        <v>111491</v>
      </c>
      <c r="F271" s="107">
        <v>90</v>
      </c>
      <c r="G271" s="107">
        <v>104</v>
      </c>
      <c r="H271" s="107"/>
      <c r="I271" s="107" t="s">
        <v>203</v>
      </c>
      <c r="J271" s="109">
        <v>1</v>
      </c>
      <c r="K271" s="107" t="s">
        <v>279</v>
      </c>
      <c r="L271" s="150">
        <v>26</v>
      </c>
      <c r="M271" s="150">
        <v>30.11</v>
      </c>
      <c r="N271" s="112">
        <f aca="true" t="shared" si="10" ref="N271:N287">PRODUCT(M271*75)+(M271*75*25%)</f>
        <v>2822.8125</v>
      </c>
      <c r="O271" s="20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s="13" customFormat="1" ht="18" customHeight="1">
      <c r="A272" s="228" t="s">
        <v>25</v>
      </c>
      <c r="B272" s="56" t="s">
        <v>71</v>
      </c>
      <c r="C272" s="56" t="s">
        <v>95</v>
      </c>
      <c r="D272" s="56" t="s">
        <v>278</v>
      </c>
      <c r="E272" s="56">
        <v>111491</v>
      </c>
      <c r="F272" s="56">
        <v>90</v>
      </c>
      <c r="G272" s="56">
        <v>108</v>
      </c>
      <c r="H272" s="56"/>
      <c r="I272" s="56" t="s">
        <v>55</v>
      </c>
      <c r="J272" s="57">
        <v>2</v>
      </c>
      <c r="K272" s="56" t="s">
        <v>280</v>
      </c>
      <c r="L272" s="62">
        <v>8.91</v>
      </c>
      <c r="M272" s="62">
        <v>12.47</v>
      </c>
      <c r="N272" s="60">
        <f t="shared" si="10"/>
        <v>1169.0625</v>
      </c>
      <c r="O272" s="20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s="13" customFormat="1" ht="18" customHeight="1">
      <c r="A273" s="228" t="s">
        <v>25</v>
      </c>
      <c r="B273" s="56" t="s">
        <v>71</v>
      </c>
      <c r="C273" s="56" t="s">
        <v>95</v>
      </c>
      <c r="D273" s="56" t="s">
        <v>278</v>
      </c>
      <c r="E273" s="56">
        <v>111491</v>
      </c>
      <c r="F273" s="56">
        <v>90</v>
      </c>
      <c r="G273" s="56">
        <v>109</v>
      </c>
      <c r="H273" s="56"/>
      <c r="I273" s="56" t="s">
        <v>203</v>
      </c>
      <c r="J273" s="57">
        <v>2</v>
      </c>
      <c r="K273" s="56" t="s">
        <v>281</v>
      </c>
      <c r="L273" s="62">
        <v>8.46</v>
      </c>
      <c r="M273" s="62">
        <v>9.71</v>
      </c>
      <c r="N273" s="60">
        <f t="shared" si="10"/>
        <v>910.3125000000001</v>
      </c>
      <c r="O273" s="20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s="13" customFormat="1" ht="18" customHeight="1">
      <c r="A274" s="226" t="s">
        <v>25</v>
      </c>
      <c r="B274" s="80" t="s">
        <v>71</v>
      </c>
      <c r="C274" s="80" t="s">
        <v>95</v>
      </c>
      <c r="D274" s="80" t="s">
        <v>282</v>
      </c>
      <c r="E274" s="80">
        <v>84653</v>
      </c>
      <c r="F274" s="80">
        <v>94</v>
      </c>
      <c r="G274" s="80">
        <v>23</v>
      </c>
      <c r="H274" s="80"/>
      <c r="I274" s="200" t="s">
        <v>117</v>
      </c>
      <c r="J274" s="81"/>
      <c r="K274" s="80" t="s">
        <v>285</v>
      </c>
      <c r="L274" s="83">
        <v>0</v>
      </c>
      <c r="M274" s="83">
        <v>0</v>
      </c>
      <c r="N274" s="84">
        <f>PRODUCT(M274*75)+(M274*75*25%)</f>
        <v>0</v>
      </c>
      <c r="O274" s="186">
        <f>18000000/1936.27*1.0797</f>
        <v>10037.133251044535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s="13" customFormat="1" ht="18" customHeight="1">
      <c r="A275" s="225" t="s">
        <v>25</v>
      </c>
      <c r="B275" s="107" t="s">
        <v>71</v>
      </c>
      <c r="C275" s="107" t="s">
        <v>95</v>
      </c>
      <c r="D275" s="107" t="s">
        <v>282</v>
      </c>
      <c r="E275" s="107">
        <v>84666</v>
      </c>
      <c r="F275" s="107">
        <v>94</v>
      </c>
      <c r="G275" s="107">
        <v>26</v>
      </c>
      <c r="H275" s="107"/>
      <c r="I275" s="107" t="s">
        <v>57</v>
      </c>
      <c r="J275" s="109">
        <v>3</v>
      </c>
      <c r="K275" s="107" t="s">
        <v>283</v>
      </c>
      <c r="L275" s="150">
        <v>600.1</v>
      </c>
      <c r="M275" s="150">
        <v>500.08</v>
      </c>
      <c r="N275" s="112">
        <f t="shared" si="10"/>
        <v>46882.5</v>
      </c>
      <c r="O275" s="20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s="13" customFormat="1" ht="18" customHeight="1">
      <c r="A276" s="226" t="s">
        <v>25</v>
      </c>
      <c r="B276" s="80" t="s">
        <v>71</v>
      </c>
      <c r="C276" s="80" t="s">
        <v>95</v>
      </c>
      <c r="D276" s="80" t="s">
        <v>282</v>
      </c>
      <c r="E276" s="80">
        <v>84653</v>
      </c>
      <c r="F276" s="80">
        <v>94</v>
      </c>
      <c r="G276" s="80">
        <v>77</v>
      </c>
      <c r="H276" s="80"/>
      <c r="I276" s="80" t="s">
        <v>57</v>
      </c>
      <c r="J276" s="81">
        <v>4</v>
      </c>
      <c r="K276" s="80" t="s">
        <v>284</v>
      </c>
      <c r="L276" s="83">
        <v>122.98</v>
      </c>
      <c r="M276" s="83">
        <v>107.61</v>
      </c>
      <c r="N276" s="84">
        <f t="shared" si="10"/>
        <v>10088.4375</v>
      </c>
      <c r="O276" s="186">
        <f>535000000/1936.27*1.0797</f>
        <v>298325.9049616015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s="13" customFormat="1" ht="18" customHeight="1">
      <c r="A277" s="225" t="s">
        <v>25</v>
      </c>
      <c r="B277" s="107" t="s">
        <v>71</v>
      </c>
      <c r="C277" s="107" t="s">
        <v>95</v>
      </c>
      <c r="D277" s="107" t="s">
        <v>286</v>
      </c>
      <c r="E277" s="107">
        <v>107210</v>
      </c>
      <c r="F277" s="107">
        <v>62</v>
      </c>
      <c r="G277" s="107">
        <v>18</v>
      </c>
      <c r="H277" s="107"/>
      <c r="I277" s="107" t="s">
        <v>57</v>
      </c>
      <c r="J277" s="109">
        <v>3</v>
      </c>
      <c r="K277" s="107" t="s">
        <v>287</v>
      </c>
      <c r="L277" s="150">
        <v>44.73</v>
      </c>
      <c r="M277" s="150">
        <v>37.28</v>
      </c>
      <c r="N277" s="112">
        <f t="shared" si="10"/>
        <v>3495</v>
      </c>
      <c r="O277" s="20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s="13" customFormat="1" ht="18" customHeight="1">
      <c r="A278" s="228" t="s">
        <v>25</v>
      </c>
      <c r="B278" s="56" t="s">
        <v>71</v>
      </c>
      <c r="C278" s="56" t="s">
        <v>95</v>
      </c>
      <c r="D278" s="56" t="s">
        <v>286</v>
      </c>
      <c r="E278" s="56">
        <v>107210</v>
      </c>
      <c r="F278" s="56">
        <v>62</v>
      </c>
      <c r="G278" s="56">
        <v>19</v>
      </c>
      <c r="H278" s="56"/>
      <c r="I278" s="56" t="s">
        <v>57</v>
      </c>
      <c r="J278" s="57">
        <v>4</v>
      </c>
      <c r="K278" s="56" t="s">
        <v>288</v>
      </c>
      <c r="L278" s="62">
        <v>78.5</v>
      </c>
      <c r="M278" s="62">
        <v>69</v>
      </c>
      <c r="N278" s="60">
        <f t="shared" si="10"/>
        <v>6468.75</v>
      </c>
      <c r="O278" s="20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s="13" customFormat="1" ht="18" customHeight="1">
      <c r="A279" s="228" t="s">
        <v>25</v>
      </c>
      <c r="B279" s="56" t="s">
        <v>71</v>
      </c>
      <c r="C279" s="56" t="s">
        <v>95</v>
      </c>
      <c r="D279" s="56" t="s">
        <v>286</v>
      </c>
      <c r="E279" s="56">
        <v>107210</v>
      </c>
      <c r="F279" s="56">
        <v>62</v>
      </c>
      <c r="G279" s="56">
        <v>20</v>
      </c>
      <c r="H279" s="56" t="s">
        <v>109</v>
      </c>
      <c r="I279" s="56" t="s">
        <v>57</v>
      </c>
      <c r="J279" s="57">
        <v>3</v>
      </c>
      <c r="K279" s="56" t="s">
        <v>289</v>
      </c>
      <c r="L279" s="62">
        <v>114.88</v>
      </c>
      <c r="M279" s="62">
        <v>95.74</v>
      </c>
      <c r="N279" s="60">
        <f t="shared" si="10"/>
        <v>8975.625</v>
      </c>
      <c r="O279" s="20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s="13" customFormat="1" ht="18" customHeight="1">
      <c r="A280" s="228" t="s">
        <v>25</v>
      </c>
      <c r="B280" s="56" t="s">
        <v>71</v>
      </c>
      <c r="C280" s="56" t="s">
        <v>95</v>
      </c>
      <c r="D280" s="56" t="s">
        <v>286</v>
      </c>
      <c r="E280" s="56">
        <v>107210</v>
      </c>
      <c r="F280" s="56">
        <v>62</v>
      </c>
      <c r="G280" s="56">
        <v>43</v>
      </c>
      <c r="H280" s="56"/>
      <c r="I280" s="56" t="s">
        <v>46</v>
      </c>
      <c r="J280" s="57">
        <v>2</v>
      </c>
      <c r="K280" s="56" t="s">
        <v>290</v>
      </c>
      <c r="L280" s="62">
        <v>5.46</v>
      </c>
      <c r="M280" s="62">
        <v>12.47</v>
      </c>
      <c r="N280" s="60">
        <f t="shared" si="10"/>
        <v>1169.0625</v>
      </c>
      <c r="O280" s="20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s="16" customFormat="1" ht="18" customHeight="1">
      <c r="A281" s="228" t="s">
        <v>25</v>
      </c>
      <c r="B281" s="56" t="s">
        <v>71</v>
      </c>
      <c r="C281" s="56" t="s">
        <v>95</v>
      </c>
      <c r="D281" s="56" t="s">
        <v>286</v>
      </c>
      <c r="E281" s="56">
        <v>107210</v>
      </c>
      <c r="F281" s="56">
        <v>62</v>
      </c>
      <c r="G281" s="56">
        <v>44</v>
      </c>
      <c r="H281" s="56"/>
      <c r="I281" s="56" t="s">
        <v>203</v>
      </c>
      <c r="J281" s="57">
        <v>1</v>
      </c>
      <c r="K281" s="56" t="s">
        <v>291</v>
      </c>
      <c r="L281" s="62">
        <v>4.75</v>
      </c>
      <c r="M281" s="62">
        <v>5.5</v>
      </c>
      <c r="N281" s="60">
        <f t="shared" si="10"/>
        <v>515.625</v>
      </c>
      <c r="O281" s="20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s="16" customFormat="1" ht="18" customHeight="1" thickBot="1">
      <c r="A282" s="228" t="s">
        <v>25</v>
      </c>
      <c r="B282" s="56" t="s">
        <v>71</v>
      </c>
      <c r="C282" s="56" t="s">
        <v>95</v>
      </c>
      <c r="D282" s="56" t="s">
        <v>286</v>
      </c>
      <c r="E282" s="56">
        <v>107210</v>
      </c>
      <c r="F282" s="56">
        <v>62</v>
      </c>
      <c r="G282" s="56">
        <v>45</v>
      </c>
      <c r="H282" s="56">
        <v>1</v>
      </c>
      <c r="I282" s="56" t="s">
        <v>292</v>
      </c>
      <c r="J282" s="57"/>
      <c r="K282" s="56"/>
      <c r="L282" s="62">
        <v>0</v>
      </c>
      <c r="M282" s="62">
        <v>0</v>
      </c>
      <c r="N282" s="60">
        <f t="shared" si="10"/>
        <v>0</v>
      </c>
      <c r="O282" s="204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s="19" customFormat="1" ht="18" customHeight="1" thickTop="1">
      <c r="A283" s="228" t="s">
        <v>25</v>
      </c>
      <c r="B283" s="56" t="s">
        <v>71</v>
      </c>
      <c r="C283" s="56" t="s">
        <v>95</v>
      </c>
      <c r="D283" s="56" t="s">
        <v>286</v>
      </c>
      <c r="E283" s="56">
        <v>107210</v>
      </c>
      <c r="F283" s="56">
        <v>62</v>
      </c>
      <c r="G283" s="56">
        <v>51</v>
      </c>
      <c r="H283" s="56"/>
      <c r="I283" s="56" t="s">
        <v>57</v>
      </c>
      <c r="J283" s="57">
        <v>5</v>
      </c>
      <c r="K283" s="56" t="s">
        <v>293</v>
      </c>
      <c r="L283" s="62">
        <v>1.46</v>
      </c>
      <c r="M283" s="62">
        <v>0.98</v>
      </c>
      <c r="N283" s="60">
        <f t="shared" si="10"/>
        <v>91.875</v>
      </c>
      <c r="O283" s="20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s="12" customFormat="1" ht="18" customHeight="1">
      <c r="A284" s="228" t="s">
        <v>25</v>
      </c>
      <c r="B284" s="56" t="s">
        <v>71</v>
      </c>
      <c r="C284" s="56" t="s">
        <v>95</v>
      </c>
      <c r="D284" s="56" t="s">
        <v>286</v>
      </c>
      <c r="E284" s="56">
        <v>107210</v>
      </c>
      <c r="F284" s="56">
        <v>62</v>
      </c>
      <c r="G284" s="56">
        <v>53</v>
      </c>
      <c r="H284" s="56"/>
      <c r="I284" s="56" t="s">
        <v>57</v>
      </c>
      <c r="J284" s="57">
        <v>3</v>
      </c>
      <c r="K284" s="56" t="s">
        <v>294</v>
      </c>
      <c r="L284" s="62">
        <v>0.64</v>
      </c>
      <c r="M284" s="62">
        <v>0.54</v>
      </c>
      <c r="N284" s="60">
        <f t="shared" si="10"/>
        <v>50.625</v>
      </c>
      <c r="O284" s="20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s="13" customFormat="1" ht="18" customHeight="1">
      <c r="A285" s="228" t="s">
        <v>25</v>
      </c>
      <c r="B285" s="56" t="s">
        <v>71</v>
      </c>
      <c r="C285" s="56" t="s">
        <v>95</v>
      </c>
      <c r="D285" s="56" t="s">
        <v>286</v>
      </c>
      <c r="E285" s="56">
        <v>107210</v>
      </c>
      <c r="F285" s="56">
        <v>62</v>
      </c>
      <c r="G285" s="56">
        <v>98</v>
      </c>
      <c r="H285" s="56"/>
      <c r="I285" s="56" t="s">
        <v>57</v>
      </c>
      <c r="J285" s="57">
        <v>4</v>
      </c>
      <c r="K285" s="56" t="s">
        <v>295</v>
      </c>
      <c r="L285" s="62">
        <v>190.31</v>
      </c>
      <c r="M285" s="62">
        <v>166.52</v>
      </c>
      <c r="N285" s="60">
        <f t="shared" si="10"/>
        <v>15611.25</v>
      </c>
      <c r="O285" s="20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s="13" customFormat="1" ht="18" customHeight="1">
      <c r="A286" s="228" t="s">
        <v>25</v>
      </c>
      <c r="B286" s="56" t="s">
        <v>71</v>
      </c>
      <c r="C286" s="56" t="s">
        <v>95</v>
      </c>
      <c r="D286" s="56" t="s">
        <v>286</v>
      </c>
      <c r="E286" s="56">
        <v>107210</v>
      </c>
      <c r="F286" s="56">
        <v>62</v>
      </c>
      <c r="G286" s="56">
        <v>99</v>
      </c>
      <c r="H286" s="56"/>
      <c r="I286" s="56" t="s">
        <v>57</v>
      </c>
      <c r="J286" s="57">
        <v>4</v>
      </c>
      <c r="K286" s="56" t="s">
        <v>296</v>
      </c>
      <c r="L286" s="62">
        <v>4.07</v>
      </c>
      <c r="M286" s="62">
        <v>3.56</v>
      </c>
      <c r="N286" s="60">
        <f t="shared" si="10"/>
        <v>333.75</v>
      </c>
      <c r="O286" s="20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s="13" customFormat="1" ht="18" customHeight="1">
      <c r="A287" s="228" t="s">
        <v>25</v>
      </c>
      <c r="B287" s="56" t="s">
        <v>71</v>
      </c>
      <c r="C287" s="56" t="s">
        <v>95</v>
      </c>
      <c r="D287" s="56" t="s">
        <v>286</v>
      </c>
      <c r="E287" s="56">
        <v>107210</v>
      </c>
      <c r="F287" s="56">
        <v>62</v>
      </c>
      <c r="G287" s="56">
        <v>100</v>
      </c>
      <c r="H287" s="56"/>
      <c r="I287" s="56" t="s">
        <v>57</v>
      </c>
      <c r="J287" s="57">
        <v>4</v>
      </c>
      <c r="K287" s="56" t="s">
        <v>297</v>
      </c>
      <c r="L287" s="62">
        <v>15.5</v>
      </c>
      <c r="M287" s="62">
        <v>13.56</v>
      </c>
      <c r="N287" s="60">
        <f t="shared" si="10"/>
        <v>1271.25</v>
      </c>
      <c r="O287" s="20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s="13" customFormat="1" ht="18" customHeight="1">
      <c r="A288" s="228" t="s">
        <v>8</v>
      </c>
      <c r="B288" s="56" t="s">
        <v>71</v>
      </c>
      <c r="C288" s="56" t="s">
        <v>95</v>
      </c>
      <c r="D288" s="56" t="s">
        <v>298</v>
      </c>
      <c r="E288" s="56">
        <v>1019470</v>
      </c>
      <c r="F288" s="56">
        <v>62</v>
      </c>
      <c r="G288" s="56">
        <v>45</v>
      </c>
      <c r="H288" s="56">
        <v>2</v>
      </c>
      <c r="I288" s="57" t="s">
        <v>250</v>
      </c>
      <c r="J288" s="57"/>
      <c r="K288" s="56"/>
      <c r="L288" s="198"/>
      <c r="M288" s="198">
        <v>1471.9</v>
      </c>
      <c r="N288" s="60">
        <f>PRODUCT(M288*50)+(M288*50*5%)</f>
        <v>77274.75</v>
      </c>
      <c r="O288" s="206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s="13" customFormat="1" ht="18" customHeight="1">
      <c r="A289" s="226" t="s">
        <v>8</v>
      </c>
      <c r="B289" s="80" t="s">
        <v>71</v>
      </c>
      <c r="C289" s="80" t="s">
        <v>95</v>
      </c>
      <c r="D289" s="80" t="s">
        <v>299</v>
      </c>
      <c r="E289" s="80">
        <v>1019470</v>
      </c>
      <c r="F289" s="80">
        <v>62</v>
      </c>
      <c r="G289" s="80">
        <v>45</v>
      </c>
      <c r="H289" s="80">
        <v>3</v>
      </c>
      <c r="I289" s="81" t="s">
        <v>87</v>
      </c>
      <c r="J289" s="81">
        <v>3</v>
      </c>
      <c r="K289" s="80">
        <v>11</v>
      </c>
      <c r="L289" s="139"/>
      <c r="M289" s="139">
        <v>710.13</v>
      </c>
      <c r="N289" s="84">
        <f>PRODUCT(M289*100)+(M289*100*5%)</f>
        <v>74563.65</v>
      </c>
      <c r="O289" s="186">
        <f>575000000/1936.27*1.0797</f>
        <v>320630.6455194782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15" ht="12.75">
      <c r="A290" s="212" t="s">
        <v>579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43"/>
      <c r="N290" s="43"/>
      <c r="O290" s="219"/>
    </row>
    <row r="291" spans="1:36" ht="12.75">
      <c r="A291" s="160" t="s">
        <v>1</v>
      </c>
      <c r="B291" s="161" t="s">
        <v>479</v>
      </c>
      <c r="C291" s="161" t="s">
        <v>478</v>
      </c>
      <c r="D291" s="161" t="s">
        <v>477</v>
      </c>
      <c r="E291" s="161" t="s">
        <v>2</v>
      </c>
      <c r="F291" s="161" t="s">
        <v>3</v>
      </c>
      <c r="G291" s="162" t="s">
        <v>480</v>
      </c>
      <c r="H291" s="161" t="s">
        <v>4</v>
      </c>
      <c r="I291" s="160" t="s">
        <v>5</v>
      </c>
      <c r="J291" s="160" t="s">
        <v>6</v>
      </c>
      <c r="K291" s="160" t="s">
        <v>7</v>
      </c>
      <c r="L291" s="160" t="s">
        <v>455</v>
      </c>
      <c r="M291" s="163" t="s">
        <v>468</v>
      </c>
      <c r="N291" s="164" t="s">
        <v>508</v>
      </c>
      <c r="O291" s="165" t="s">
        <v>507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2.75">
      <c r="A292" s="166"/>
      <c r="B292" s="167"/>
      <c r="C292" s="167"/>
      <c r="D292" s="167"/>
      <c r="E292" s="166"/>
      <c r="F292" s="167"/>
      <c r="G292" s="168"/>
      <c r="H292" s="167"/>
      <c r="I292" s="166"/>
      <c r="J292" s="166"/>
      <c r="K292" s="166"/>
      <c r="L292" s="167" t="s">
        <v>509</v>
      </c>
      <c r="M292" s="169" t="s">
        <v>509</v>
      </c>
      <c r="N292" s="170" t="s">
        <v>509</v>
      </c>
      <c r="O292" s="171" t="s">
        <v>513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s="13" customFormat="1" ht="18" customHeight="1">
      <c r="A293" s="225" t="s">
        <v>25</v>
      </c>
      <c r="B293" s="107" t="s">
        <v>71</v>
      </c>
      <c r="C293" s="107" t="s">
        <v>95</v>
      </c>
      <c r="D293" s="107" t="s">
        <v>300</v>
      </c>
      <c r="E293" s="107">
        <v>107210</v>
      </c>
      <c r="F293" s="107">
        <v>138</v>
      </c>
      <c r="G293" s="107">
        <v>72</v>
      </c>
      <c r="H293" s="107"/>
      <c r="I293" s="107" t="s">
        <v>46</v>
      </c>
      <c r="J293" s="109">
        <v>3</v>
      </c>
      <c r="K293" s="107" t="s">
        <v>301</v>
      </c>
      <c r="L293" s="150">
        <v>12.32</v>
      </c>
      <c r="M293" s="150">
        <v>18.47</v>
      </c>
      <c r="N293" s="112">
        <f>PRODUCT(M293*75)+(M293*75*25%)</f>
        <v>1731.5625</v>
      </c>
      <c r="O293" s="202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s="13" customFormat="1" ht="18" customHeight="1">
      <c r="A294" s="228" t="s">
        <v>25</v>
      </c>
      <c r="B294" s="56" t="s">
        <v>71</v>
      </c>
      <c r="C294" s="56" t="s">
        <v>95</v>
      </c>
      <c r="D294" s="56" t="s">
        <v>300</v>
      </c>
      <c r="E294" s="56">
        <v>107210</v>
      </c>
      <c r="F294" s="56">
        <v>138</v>
      </c>
      <c r="G294" s="56">
        <v>73</v>
      </c>
      <c r="H294" s="56"/>
      <c r="I294" s="56" t="s">
        <v>117</v>
      </c>
      <c r="J294" s="57"/>
      <c r="K294" s="56" t="s">
        <v>302</v>
      </c>
      <c r="L294" s="62">
        <v>0</v>
      </c>
      <c r="M294" s="62">
        <v>0</v>
      </c>
      <c r="N294" s="60">
        <f>PRODUCT(M294*75)+(M294*75*25%)</f>
        <v>0</v>
      </c>
      <c r="O294" s="20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s="13" customFormat="1" ht="18" customHeight="1">
      <c r="A295" s="228" t="s">
        <v>25</v>
      </c>
      <c r="B295" s="56" t="s">
        <v>71</v>
      </c>
      <c r="C295" s="56" t="s">
        <v>95</v>
      </c>
      <c r="D295" s="56" t="s">
        <v>300</v>
      </c>
      <c r="E295" s="56">
        <v>107210</v>
      </c>
      <c r="F295" s="56">
        <v>138</v>
      </c>
      <c r="G295" s="56">
        <v>74</v>
      </c>
      <c r="H295" s="56"/>
      <c r="I295" s="56" t="s">
        <v>131</v>
      </c>
      <c r="J295" s="57">
        <v>3</v>
      </c>
      <c r="K295" s="56" t="s">
        <v>303</v>
      </c>
      <c r="L295" s="62">
        <v>22.95</v>
      </c>
      <c r="M295" s="62">
        <v>26.65</v>
      </c>
      <c r="N295" s="60">
        <f>PRODUCT(M295*75)+(M295*75*25%)</f>
        <v>2498.4375</v>
      </c>
      <c r="O295" s="20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s="13" customFormat="1" ht="18" customHeight="1">
      <c r="A296" s="228" t="s">
        <v>25</v>
      </c>
      <c r="B296" s="56" t="s">
        <v>71</v>
      </c>
      <c r="C296" s="56" t="s">
        <v>95</v>
      </c>
      <c r="D296" s="56" t="s">
        <v>300</v>
      </c>
      <c r="E296" s="56">
        <v>107210</v>
      </c>
      <c r="F296" s="56">
        <v>138</v>
      </c>
      <c r="G296" s="56">
        <v>75</v>
      </c>
      <c r="H296" s="56"/>
      <c r="I296" s="56" t="s">
        <v>55</v>
      </c>
      <c r="J296" s="57">
        <v>3</v>
      </c>
      <c r="K296" s="56" t="s">
        <v>304</v>
      </c>
      <c r="L296" s="62">
        <v>47.14</v>
      </c>
      <c r="M296" s="62">
        <v>57.24</v>
      </c>
      <c r="N296" s="60">
        <f>PRODUCT(M296*75)+(M296*75*25%)</f>
        <v>5366.25</v>
      </c>
      <c r="O296" s="20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s="13" customFormat="1" ht="18" customHeight="1">
      <c r="A297" s="228" t="s">
        <v>8</v>
      </c>
      <c r="B297" s="56" t="s">
        <v>71</v>
      </c>
      <c r="C297" s="56" t="s">
        <v>95</v>
      </c>
      <c r="D297" s="56" t="s">
        <v>305</v>
      </c>
      <c r="E297" s="56">
        <v>107210</v>
      </c>
      <c r="F297" s="56">
        <v>138</v>
      </c>
      <c r="G297" s="56">
        <v>76</v>
      </c>
      <c r="H297" s="56">
        <v>1</v>
      </c>
      <c r="I297" s="185" t="s">
        <v>292</v>
      </c>
      <c r="J297" s="57"/>
      <c r="K297" s="56"/>
      <c r="L297" s="62">
        <v>0</v>
      </c>
      <c r="M297" s="62">
        <v>0</v>
      </c>
      <c r="N297" s="60">
        <f>PRODUCT(M297*75)+(M297*75*25%)</f>
        <v>0</v>
      </c>
      <c r="O297" s="20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s="13" customFormat="1" ht="18" customHeight="1">
      <c r="A298" s="226" t="s">
        <v>8</v>
      </c>
      <c r="B298" s="80" t="s">
        <v>71</v>
      </c>
      <c r="C298" s="80" t="s">
        <v>95</v>
      </c>
      <c r="D298" s="80" t="s">
        <v>306</v>
      </c>
      <c r="E298" s="80">
        <v>1019470</v>
      </c>
      <c r="F298" s="80">
        <v>138</v>
      </c>
      <c r="G298" s="80">
        <v>76</v>
      </c>
      <c r="H298" s="80">
        <v>2</v>
      </c>
      <c r="I298" s="81" t="s">
        <v>65</v>
      </c>
      <c r="J298" s="81">
        <v>1</v>
      </c>
      <c r="K298" s="80">
        <v>9.5</v>
      </c>
      <c r="L298" s="139"/>
      <c r="M298" s="139">
        <v>686.89</v>
      </c>
      <c r="N298" s="84">
        <f>PRODUCT(M298*100)+(M298*100*5%)</f>
        <v>72123.45</v>
      </c>
      <c r="O298" s="186">
        <f>138000000/1936.27*1.0797</f>
        <v>76951.35492467477</v>
      </c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15" ht="12.75">
      <c r="A299" s="212" t="s">
        <v>576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43"/>
      <c r="M299" s="43"/>
      <c r="N299" s="43"/>
      <c r="O299" s="43"/>
    </row>
    <row r="300" spans="1:36" ht="12.75">
      <c r="A300" s="160" t="s">
        <v>1</v>
      </c>
      <c r="B300" s="161" t="s">
        <v>479</v>
      </c>
      <c r="C300" s="161" t="s">
        <v>478</v>
      </c>
      <c r="D300" s="161" t="s">
        <v>477</v>
      </c>
      <c r="E300" s="161" t="s">
        <v>2</v>
      </c>
      <c r="F300" s="161" t="s">
        <v>3</v>
      </c>
      <c r="G300" s="162" t="s">
        <v>480</v>
      </c>
      <c r="H300" s="161" t="s">
        <v>4</v>
      </c>
      <c r="I300" s="160" t="s">
        <v>5</v>
      </c>
      <c r="J300" s="160" t="s">
        <v>6</v>
      </c>
      <c r="K300" s="160" t="s">
        <v>7</v>
      </c>
      <c r="L300" s="220" t="s">
        <v>455</v>
      </c>
      <c r="M300" s="163" t="s">
        <v>468</v>
      </c>
      <c r="N300" s="164" t="s">
        <v>508</v>
      </c>
      <c r="O300" s="164" t="s">
        <v>507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2.75">
      <c r="A301" s="166"/>
      <c r="B301" s="167"/>
      <c r="C301" s="167"/>
      <c r="D301" s="167"/>
      <c r="E301" s="166"/>
      <c r="F301" s="167"/>
      <c r="G301" s="168"/>
      <c r="H301" s="167"/>
      <c r="I301" s="166"/>
      <c r="J301" s="166"/>
      <c r="K301" s="166"/>
      <c r="L301" s="169" t="s">
        <v>509</v>
      </c>
      <c r="M301" s="169" t="s">
        <v>509</v>
      </c>
      <c r="N301" s="170" t="s">
        <v>509</v>
      </c>
      <c r="O301" s="221" t="s">
        <v>513</v>
      </c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s="13" customFormat="1" ht="18" customHeight="1">
      <c r="A302" s="227" t="s">
        <v>8</v>
      </c>
      <c r="B302" s="71" t="s">
        <v>510</v>
      </c>
      <c r="C302" s="71" t="s">
        <v>134</v>
      </c>
      <c r="D302" s="71" t="s">
        <v>575</v>
      </c>
      <c r="E302" s="71">
        <v>1002373</v>
      </c>
      <c r="F302" s="71">
        <v>7</v>
      </c>
      <c r="G302" s="71">
        <v>208</v>
      </c>
      <c r="H302" s="71"/>
      <c r="I302" s="72" t="s">
        <v>22</v>
      </c>
      <c r="J302" s="72" t="s">
        <v>23</v>
      </c>
      <c r="K302" s="71">
        <v>1355</v>
      </c>
      <c r="L302" s="74"/>
      <c r="M302" s="74">
        <v>1049.7</v>
      </c>
      <c r="N302" s="75">
        <f>PRODUCT(M302*100)+(M302*100*5%)</f>
        <v>110218.5</v>
      </c>
      <c r="O302" s="133">
        <f>PRODUCT(N302*4)</f>
        <v>440874</v>
      </c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15" ht="12.75">
      <c r="A303" s="212" t="s">
        <v>580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43"/>
      <c r="M303" s="43"/>
      <c r="N303" s="43"/>
      <c r="O303" s="43"/>
    </row>
    <row r="304" spans="1:36" ht="12.75">
      <c r="A304" s="160" t="s">
        <v>1</v>
      </c>
      <c r="B304" s="161" t="s">
        <v>479</v>
      </c>
      <c r="C304" s="161" t="s">
        <v>478</v>
      </c>
      <c r="D304" s="161" t="s">
        <v>477</v>
      </c>
      <c r="E304" s="161" t="s">
        <v>2</v>
      </c>
      <c r="F304" s="161" t="s">
        <v>3</v>
      </c>
      <c r="G304" s="162" t="s">
        <v>480</v>
      </c>
      <c r="H304" s="161" t="s">
        <v>4</v>
      </c>
      <c r="I304" s="160" t="s">
        <v>5</v>
      </c>
      <c r="J304" s="160" t="s">
        <v>6</v>
      </c>
      <c r="K304" s="160" t="s">
        <v>7</v>
      </c>
      <c r="L304" s="220" t="s">
        <v>455</v>
      </c>
      <c r="M304" s="163" t="s">
        <v>468</v>
      </c>
      <c r="N304" s="164" t="s">
        <v>508</v>
      </c>
      <c r="O304" s="164" t="s">
        <v>507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2.75">
      <c r="A305" s="166"/>
      <c r="B305" s="167"/>
      <c r="C305" s="167"/>
      <c r="D305" s="167"/>
      <c r="E305" s="166"/>
      <c r="F305" s="167"/>
      <c r="G305" s="168"/>
      <c r="H305" s="167"/>
      <c r="I305" s="166"/>
      <c r="J305" s="166"/>
      <c r="K305" s="166"/>
      <c r="L305" s="169" t="s">
        <v>509</v>
      </c>
      <c r="M305" s="169" t="s">
        <v>509</v>
      </c>
      <c r="N305" s="170" t="s">
        <v>509</v>
      </c>
      <c r="O305" s="221" t="s">
        <v>513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s="13" customFormat="1" ht="18" customHeight="1">
      <c r="A306" s="227" t="s">
        <v>8</v>
      </c>
      <c r="B306" s="71" t="s">
        <v>510</v>
      </c>
      <c r="C306" s="71" t="s">
        <v>134</v>
      </c>
      <c r="D306" s="71" t="s">
        <v>307</v>
      </c>
      <c r="E306" s="71">
        <v>4167</v>
      </c>
      <c r="F306" s="71">
        <v>30</v>
      </c>
      <c r="G306" s="71">
        <v>938</v>
      </c>
      <c r="H306" s="71"/>
      <c r="I306" s="72" t="s">
        <v>22</v>
      </c>
      <c r="J306" s="72" t="s">
        <v>23</v>
      </c>
      <c r="K306" s="71">
        <v>1652</v>
      </c>
      <c r="L306" s="74"/>
      <c r="M306" s="74">
        <v>1279.79</v>
      </c>
      <c r="N306" s="75">
        <f>PRODUCT(M306*100)+(M306*100*5%)</f>
        <v>134377.95</v>
      </c>
      <c r="O306" s="133">
        <f>PRODUCT(N306*4)</f>
        <v>537511.8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15" ht="12.75">
      <c r="A307" s="212" t="s">
        <v>581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43"/>
      <c r="M307" s="43"/>
      <c r="N307" s="43"/>
      <c r="O307" s="43"/>
    </row>
    <row r="308" spans="1:36" ht="12.75">
      <c r="A308" s="160" t="s">
        <v>1</v>
      </c>
      <c r="B308" s="161" t="s">
        <v>479</v>
      </c>
      <c r="C308" s="161" t="s">
        <v>478</v>
      </c>
      <c r="D308" s="161" t="s">
        <v>477</v>
      </c>
      <c r="E308" s="161" t="s">
        <v>2</v>
      </c>
      <c r="F308" s="161" t="s">
        <v>3</v>
      </c>
      <c r="G308" s="162" t="s">
        <v>480</v>
      </c>
      <c r="H308" s="161" t="s">
        <v>4</v>
      </c>
      <c r="I308" s="160" t="s">
        <v>5</v>
      </c>
      <c r="J308" s="160" t="s">
        <v>6</v>
      </c>
      <c r="K308" s="160" t="s">
        <v>7</v>
      </c>
      <c r="L308" s="220" t="s">
        <v>455</v>
      </c>
      <c r="M308" s="163" t="s">
        <v>468</v>
      </c>
      <c r="N308" s="164" t="s">
        <v>508</v>
      </c>
      <c r="O308" s="164" t="s">
        <v>507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2.75">
      <c r="A309" s="166"/>
      <c r="B309" s="167"/>
      <c r="C309" s="167"/>
      <c r="D309" s="167"/>
      <c r="E309" s="166"/>
      <c r="F309" s="167"/>
      <c r="G309" s="168"/>
      <c r="H309" s="167"/>
      <c r="I309" s="166"/>
      <c r="J309" s="166"/>
      <c r="K309" s="166"/>
      <c r="L309" s="169" t="s">
        <v>509</v>
      </c>
      <c r="M309" s="169" t="s">
        <v>509</v>
      </c>
      <c r="N309" s="170" t="s">
        <v>509</v>
      </c>
      <c r="O309" s="221" t="s">
        <v>513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s="13" customFormat="1" ht="18" customHeight="1">
      <c r="A310" s="227" t="s">
        <v>8</v>
      </c>
      <c r="B310" s="71" t="s">
        <v>71</v>
      </c>
      <c r="C310" s="100" t="s">
        <v>308</v>
      </c>
      <c r="D310" s="100" t="s">
        <v>309</v>
      </c>
      <c r="E310" s="100">
        <v>325</v>
      </c>
      <c r="F310" s="100">
        <v>37</v>
      </c>
      <c r="G310" s="174" t="s">
        <v>310</v>
      </c>
      <c r="H310" s="71">
        <v>1</v>
      </c>
      <c r="I310" s="72" t="s">
        <v>250</v>
      </c>
      <c r="J310" s="72"/>
      <c r="K310" s="71"/>
      <c r="L310" s="116"/>
      <c r="M310" s="116">
        <f>1572000/1936.27</f>
        <v>811.8702453686727</v>
      </c>
      <c r="N310" s="192">
        <f>82530000/1936.27</f>
        <v>42623.18788185532</v>
      </c>
      <c r="O310" s="117">
        <f>10000000/1936.27*1.0797</f>
        <v>5576.185139469187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s="13" customFormat="1" ht="18" customHeight="1">
      <c r="A311" s="227" t="s">
        <v>8</v>
      </c>
      <c r="B311" s="71" t="s">
        <v>71</v>
      </c>
      <c r="C311" s="100" t="s">
        <v>95</v>
      </c>
      <c r="D311" s="100" t="s">
        <v>311</v>
      </c>
      <c r="E311" s="100"/>
      <c r="F311" s="100"/>
      <c r="G311" s="174"/>
      <c r="H311" s="71"/>
      <c r="I311" s="72"/>
      <c r="J311" s="72"/>
      <c r="K311" s="71"/>
      <c r="L311" s="192"/>
      <c r="M311" s="192"/>
      <c r="N311" s="192">
        <v>0</v>
      </c>
      <c r="O311" s="117">
        <f>82000000/1936.27*1.0797</f>
        <v>45724.718143647326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s="13" customFormat="1" ht="18" customHeight="1">
      <c r="A312" s="227" t="s">
        <v>8</v>
      </c>
      <c r="B312" s="71" t="s">
        <v>71</v>
      </c>
      <c r="C312" s="100" t="s">
        <v>95</v>
      </c>
      <c r="D312" s="100" t="s">
        <v>312</v>
      </c>
      <c r="E312" s="100">
        <v>325</v>
      </c>
      <c r="F312" s="100">
        <v>37</v>
      </c>
      <c r="G312" s="174" t="s">
        <v>313</v>
      </c>
      <c r="H312" s="71">
        <v>4</v>
      </c>
      <c r="I312" s="72" t="s">
        <v>200</v>
      </c>
      <c r="J312" s="72">
        <v>1</v>
      </c>
      <c r="K312" s="71">
        <v>294</v>
      </c>
      <c r="L312" s="134"/>
      <c r="M312" s="134">
        <f>1822800/1936.27</f>
        <v>941.3976356603159</v>
      </c>
      <c r="N312" s="192">
        <f>191394000/1936.27</f>
        <v>98846.75174433317</v>
      </c>
      <c r="O312" s="117">
        <f>231000000/1936.27*1.0797</f>
        <v>128809.8767217382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s="13" customFormat="1" ht="18" customHeight="1">
      <c r="A313" s="225" t="s">
        <v>8</v>
      </c>
      <c r="B313" s="107" t="s">
        <v>71</v>
      </c>
      <c r="C313" s="154" t="s">
        <v>308</v>
      </c>
      <c r="D313" s="154" t="s">
        <v>314</v>
      </c>
      <c r="E313" s="154">
        <v>325</v>
      </c>
      <c r="F313" s="154">
        <v>37</v>
      </c>
      <c r="G313" s="154">
        <v>472</v>
      </c>
      <c r="H313" s="107">
        <v>1</v>
      </c>
      <c r="I313" s="109" t="s">
        <v>77</v>
      </c>
      <c r="J313" s="109">
        <v>2</v>
      </c>
      <c r="K313" s="107">
        <v>1</v>
      </c>
      <c r="L313" s="136"/>
      <c r="M313" s="136">
        <f>77000/1936.27</f>
        <v>39.76718122989046</v>
      </c>
      <c r="N313" s="112">
        <f>PRODUCT(M313*100)+(M313*100*5%)</f>
        <v>4175.554029138499</v>
      </c>
      <c r="O313" s="20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s="13" customFormat="1" ht="18" customHeight="1">
      <c r="A314" s="226" t="s">
        <v>8</v>
      </c>
      <c r="B314" s="80" t="s">
        <v>71</v>
      </c>
      <c r="C314" s="105" t="s">
        <v>308</v>
      </c>
      <c r="D314" s="105" t="s">
        <v>315</v>
      </c>
      <c r="E314" s="105">
        <v>325</v>
      </c>
      <c r="F314" s="105">
        <v>37</v>
      </c>
      <c r="G314" s="105">
        <v>472</v>
      </c>
      <c r="H314" s="80">
        <v>2</v>
      </c>
      <c r="I314" s="81" t="s">
        <v>77</v>
      </c>
      <c r="J314" s="81">
        <v>2</v>
      </c>
      <c r="K314" s="80">
        <v>1</v>
      </c>
      <c r="L314" s="139"/>
      <c r="M314" s="139">
        <f>77000/1936.27</f>
        <v>39.76718122989046</v>
      </c>
      <c r="N314" s="84">
        <f>PRODUCT(M314*100)+(M314*100*5%)</f>
        <v>4175.554029138499</v>
      </c>
      <c r="O314" s="186">
        <f>32000000/1936.27*1.0797</f>
        <v>17843.792446301395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s="13" customFormat="1" ht="18" customHeight="1">
      <c r="A315" s="227" t="s">
        <v>8</v>
      </c>
      <c r="B315" s="71" t="s">
        <v>71</v>
      </c>
      <c r="C315" s="100" t="s">
        <v>316</v>
      </c>
      <c r="D315" s="100" t="s">
        <v>317</v>
      </c>
      <c r="E315" s="100">
        <v>325</v>
      </c>
      <c r="F315" s="100">
        <v>37</v>
      </c>
      <c r="G315" s="174" t="s">
        <v>318</v>
      </c>
      <c r="H315" s="71"/>
      <c r="I315" s="72" t="s">
        <v>74</v>
      </c>
      <c r="J315" s="72">
        <v>2</v>
      </c>
      <c r="K315" s="71">
        <v>88</v>
      </c>
      <c r="L315" s="134"/>
      <c r="M315" s="134">
        <f>352000/1936.27</f>
        <v>181.79282847949924</v>
      </c>
      <c r="N315" s="84">
        <f>PRODUCT(M315*100)+(M315*100*5%)</f>
        <v>19088.24699034742</v>
      </c>
      <c r="O315" s="117">
        <f>85000000/1936.27*1.0797</f>
        <v>47397.57368548808</v>
      </c>
      <c r="P315" s="1" t="s">
        <v>319</v>
      </c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s="13" customFormat="1" ht="18" customHeight="1">
      <c r="A316" s="227" t="s">
        <v>8</v>
      </c>
      <c r="B316" s="71" t="s">
        <v>71</v>
      </c>
      <c r="C316" s="100" t="s">
        <v>320</v>
      </c>
      <c r="D316" s="100" t="s">
        <v>321</v>
      </c>
      <c r="E316" s="100">
        <v>325</v>
      </c>
      <c r="F316" s="100">
        <v>37</v>
      </c>
      <c r="G316" s="174" t="s">
        <v>322</v>
      </c>
      <c r="H316" s="71">
        <v>1</v>
      </c>
      <c r="I316" s="72" t="s">
        <v>200</v>
      </c>
      <c r="J316" s="72">
        <v>3</v>
      </c>
      <c r="K316" s="71">
        <v>18</v>
      </c>
      <c r="L316" s="134"/>
      <c r="M316" s="134">
        <f>153000/1936.27</f>
        <v>79.01790556069143</v>
      </c>
      <c r="N316" s="84">
        <f>PRODUCT(M316*100)+(M316*100*5%)</f>
        <v>8296.8800838726</v>
      </c>
      <c r="O316" s="117">
        <f>67500000/1936.27*1.0797</f>
        <v>37639.249691417004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s="13" customFormat="1" ht="18" customHeight="1">
      <c r="A317" s="227" t="s">
        <v>8</v>
      </c>
      <c r="B317" s="71" t="s">
        <v>71</v>
      </c>
      <c r="C317" s="100" t="s">
        <v>95</v>
      </c>
      <c r="D317" s="100" t="s">
        <v>323</v>
      </c>
      <c r="E317" s="100">
        <v>325</v>
      </c>
      <c r="F317" s="100">
        <v>37</v>
      </c>
      <c r="G317" s="100">
        <v>470</v>
      </c>
      <c r="H317" s="71">
        <v>5</v>
      </c>
      <c r="I317" s="72" t="s">
        <v>200</v>
      </c>
      <c r="J317" s="72">
        <v>2</v>
      </c>
      <c r="K317" s="71">
        <v>170</v>
      </c>
      <c r="L317" s="134"/>
      <c r="M317" s="134">
        <f>1241000/1936.27</f>
        <v>640.9230117700528</v>
      </c>
      <c r="N317" s="84">
        <f>PRODUCT(M317*100)+(M317*100*5%)</f>
        <v>67296.91623585555</v>
      </c>
      <c r="O317" s="117">
        <f>77000000/1936.27*1.0797</f>
        <v>42936.62557391274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s="13" customFormat="1" ht="18" customHeight="1">
      <c r="A318" s="227" t="s">
        <v>8</v>
      </c>
      <c r="B318" s="71" t="s">
        <v>71</v>
      </c>
      <c r="C318" s="100" t="s">
        <v>324</v>
      </c>
      <c r="D318" s="100" t="s">
        <v>325</v>
      </c>
      <c r="E318" s="100">
        <v>325</v>
      </c>
      <c r="F318" s="100">
        <v>37</v>
      </c>
      <c r="G318" s="100">
        <v>1253</v>
      </c>
      <c r="H318" s="71">
        <v>2</v>
      </c>
      <c r="I318" s="72" t="s">
        <v>90</v>
      </c>
      <c r="J318" s="72">
        <v>1</v>
      </c>
      <c r="K318" s="71">
        <v>50</v>
      </c>
      <c r="L318" s="116"/>
      <c r="M318" s="116">
        <f>1185000/1936.27</f>
        <v>612.0014254210415</v>
      </c>
      <c r="N318" s="84">
        <f>PRODUCT(M318*34)+(M318*34*5%)</f>
        <v>21848.450887531184</v>
      </c>
      <c r="O318" s="117">
        <f>40000000/1936.27*1.0797</f>
        <v>22304.740557876747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s="13" customFormat="1" ht="18" customHeight="1">
      <c r="A319" s="227" t="s">
        <v>8</v>
      </c>
      <c r="B319" s="71" t="s">
        <v>71</v>
      </c>
      <c r="C319" s="100" t="s">
        <v>326</v>
      </c>
      <c r="D319" s="100" t="s">
        <v>327</v>
      </c>
      <c r="E319" s="100">
        <v>325</v>
      </c>
      <c r="F319" s="100">
        <v>37</v>
      </c>
      <c r="G319" s="174" t="s">
        <v>328</v>
      </c>
      <c r="H319" s="71">
        <v>3</v>
      </c>
      <c r="I319" s="72" t="s">
        <v>87</v>
      </c>
      <c r="J319" s="72">
        <v>1</v>
      </c>
      <c r="K319" s="71">
        <v>13</v>
      </c>
      <c r="L319" s="134"/>
      <c r="M319" s="134">
        <f>1690000/1936.27</f>
        <v>872.8121594612322</v>
      </c>
      <c r="N319" s="84">
        <f aca="true" t="shared" si="11" ref="N319:N325">PRODUCT(M319*100)+(M319*100*5%)</f>
        <v>91645.27674342938</v>
      </c>
      <c r="O319" s="117">
        <f>210000000/1936.27*1.0797</f>
        <v>117099.88792885291</v>
      </c>
      <c r="P319" s="1" t="s">
        <v>329</v>
      </c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s="13" customFormat="1" ht="18" customHeight="1">
      <c r="A320" s="227" t="s">
        <v>8</v>
      </c>
      <c r="B320" s="71" t="s">
        <v>71</v>
      </c>
      <c r="C320" s="100" t="s">
        <v>330</v>
      </c>
      <c r="D320" s="100" t="s">
        <v>331</v>
      </c>
      <c r="E320" s="100">
        <v>325</v>
      </c>
      <c r="F320" s="100">
        <v>37</v>
      </c>
      <c r="G320" s="100">
        <v>470</v>
      </c>
      <c r="H320" s="71">
        <v>2</v>
      </c>
      <c r="I320" s="72" t="s">
        <v>77</v>
      </c>
      <c r="J320" s="72">
        <v>2</v>
      </c>
      <c r="K320" s="71">
        <v>1.5</v>
      </c>
      <c r="L320" s="134"/>
      <c r="M320" s="134">
        <f>115500/1936.27</f>
        <v>59.65077184483569</v>
      </c>
      <c r="N320" s="84">
        <f t="shared" si="11"/>
        <v>6263.331043707747</v>
      </c>
      <c r="O320" s="117">
        <f>22000000/1936.27*1.0797</f>
        <v>12267.60730683221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s="13" customFormat="1" ht="18" customHeight="1">
      <c r="A321" s="227" t="s">
        <v>8</v>
      </c>
      <c r="B321" s="71" t="s">
        <v>71</v>
      </c>
      <c r="C321" s="100" t="s">
        <v>332</v>
      </c>
      <c r="D321" s="100" t="s">
        <v>333</v>
      </c>
      <c r="E321" s="100">
        <v>325</v>
      </c>
      <c r="F321" s="100">
        <v>37</v>
      </c>
      <c r="G321" s="100">
        <v>470</v>
      </c>
      <c r="H321" s="71">
        <v>3</v>
      </c>
      <c r="I321" s="72" t="s">
        <v>77</v>
      </c>
      <c r="J321" s="72">
        <v>2</v>
      </c>
      <c r="K321" s="71">
        <v>2.5</v>
      </c>
      <c r="L321" s="134"/>
      <c r="M321" s="134">
        <f>192500/1936.27</f>
        <v>99.41795307472616</v>
      </c>
      <c r="N321" s="84">
        <f t="shared" si="11"/>
        <v>10438.885072846246</v>
      </c>
      <c r="O321" s="117">
        <f>45000000/1936.27*1.0797</f>
        <v>25092.83312761134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s="13" customFormat="1" ht="18" customHeight="1">
      <c r="A322" s="225" t="s">
        <v>8</v>
      </c>
      <c r="B322" s="107" t="s">
        <v>71</v>
      </c>
      <c r="C322" s="154" t="s">
        <v>334</v>
      </c>
      <c r="D322" s="154" t="s">
        <v>335</v>
      </c>
      <c r="E322" s="154">
        <v>325</v>
      </c>
      <c r="F322" s="154">
        <v>37</v>
      </c>
      <c r="G322" s="207" t="s">
        <v>336</v>
      </c>
      <c r="H322" s="107" t="s">
        <v>109</v>
      </c>
      <c r="I322" s="109" t="s">
        <v>54</v>
      </c>
      <c r="J322" s="109">
        <v>1</v>
      </c>
      <c r="K322" s="107">
        <v>7</v>
      </c>
      <c r="L322" s="136"/>
      <c r="M322" s="136">
        <f>630000/1936.27</f>
        <v>325.3678464263765</v>
      </c>
      <c r="N322" s="112">
        <f t="shared" si="11"/>
        <v>34163.62387476953</v>
      </c>
      <c r="O322" s="202">
        <f>56000000/1936.27*1.0797</f>
        <v>31226.636781027442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s="13" customFormat="1" ht="18" customHeight="1">
      <c r="A323" s="226" t="s">
        <v>8</v>
      </c>
      <c r="B323" s="80" t="s">
        <v>71</v>
      </c>
      <c r="C323" s="105" t="s">
        <v>337</v>
      </c>
      <c r="D323" s="105" t="s">
        <v>338</v>
      </c>
      <c r="E323" s="105"/>
      <c r="F323" s="105"/>
      <c r="G323" s="208"/>
      <c r="H323" s="80"/>
      <c r="I323" s="81"/>
      <c r="J323" s="81"/>
      <c r="K323" s="80"/>
      <c r="L323" s="139"/>
      <c r="M323" s="139"/>
      <c r="N323" s="84">
        <f t="shared" si="11"/>
        <v>0</v>
      </c>
      <c r="O323" s="186">
        <f>87000000/1936.27*1.0797</f>
        <v>48512.81071338192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s="13" customFormat="1" ht="18" customHeight="1">
      <c r="A324" s="227" t="s">
        <v>8</v>
      </c>
      <c r="B324" s="71" t="s">
        <v>71</v>
      </c>
      <c r="C324" s="100" t="s">
        <v>339</v>
      </c>
      <c r="D324" s="100" t="s">
        <v>340</v>
      </c>
      <c r="E324" s="100">
        <v>325</v>
      </c>
      <c r="F324" s="100">
        <v>37</v>
      </c>
      <c r="G324" s="100">
        <v>1264</v>
      </c>
      <c r="H324" s="71"/>
      <c r="I324" s="72" t="s">
        <v>74</v>
      </c>
      <c r="J324" s="72">
        <v>4</v>
      </c>
      <c r="K324" s="71">
        <v>30</v>
      </c>
      <c r="L324" s="134"/>
      <c r="M324" s="134">
        <f>165000/1936.27</f>
        <v>85.21538834976528</v>
      </c>
      <c r="N324" s="84">
        <f t="shared" si="11"/>
        <v>8947.615776725353</v>
      </c>
      <c r="O324" s="117">
        <f>21000000/1936.27*1.0797</f>
        <v>11709.988792885291</v>
      </c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s="13" customFormat="1" ht="18" customHeight="1">
      <c r="A325" s="227" t="s">
        <v>8</v>
      </c>
      <c r="B325" s="71" t="s">
        <v>71</v>
      </c>
      <c r="C325" s="100" t="s">
        <v>341</v>
      </c>
      <c r="D325" s="100" t="s">
        <v>342</v>
      </c>
      <c r="E325" s="100">
        <v>325</v>
      </c>
      <c r="F325" s="100">
        <v>37</v>
      </c>
      <c r="G325" s="100">
        <v>1309</v>
      </c>
      <c r="H325" s="71"/>
      <c r="I325" s="72" t="s">
        <v>77</v>
      </c>
      <c r="J325" s="72">
        <v>3</v>
      </c>
      <c r="K325" s="71">
        <v>2</v>
      </c>
      <c r="L325" s="134"/>
      <c r="M325" s="134">
        <f>180000/1936.27</f>
        <v>92.96224183610757</v>
      </c>
      <c r="N325" s="84">
        <f t="shared" si="11"/>
        <v>9761.035392791295</v>
      </c>
      <c r="O325" s="117">
        <f>30000000/1936.27*1.0797</f>
        <v>16728.55541840756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s="13" customFormat="1" ht="18" customHeight="1">
      <c r="A326" s="227" t="s">
        <v>8</v>
      </c>
      <c r="B326" s="71" t="s">
        <v>71</v>
      </c>
      <c r="C326" s="100" t="s">
        <v>343</v>
      </c>
      <c r="D326" s="100" t="s">
        <v>344</v>
      </c>
      <c r="E326" s="100">
        <v>325</v>
      </c>
      <c r="F326" s="100">
        <v>37</v>
      </c>
      <c r="G326" s="100">
        <v>466</v>
      </c>
      <c r="H326" s="71">
        <v>6</v>
      </c>
      <c r="I326" s="72" t="s">
        <v>90</v>
      </c>
      <c r="J326" s="72">
        <v>5</v>
      </c>
      <c r="K326" s="71">
        <v>11</v>
      </c>
      <c r="L326" s="116"/>
      <c r="M326" s="116">
        <f>478500/1936.27</f>
        <v>247.12462621431928</v>
      </c>
      <c r="N326" s="84">
        <f>PRODUCT(M326*34)+(M326*34*5%)</f>
        <v>8822.3491558512</v>
      </c>
      <c r="O326" s="117">
        <f>20000000/1936.27*1.0797</f>
        <v>11152.370278938373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s="13" customFormat="1" ht="18" customHeight="1">
      <c r="A327" s="227" t="s">
        <v>8</v>
      </c>
      <c r="B327" s="71" t="s">
        <v>71</v>
      </c>
      <c r="C327" s="100" t="s">
        <v>345</v>
      </c>
      <c r="D327" s="100" t="s">
        <v>346</v>
      </c>
      <c r="E327" s="100">
        <v>325</v>
      </c>
      <c r="F327" s="100">
        <v>37</v>
      </c>
      <c r="G327" s="100">
        <v>466</v>
      </c>
      <c r="H327" s="71">
        <v>5</v>
      </c>
      <c r="I327" s="72" t="s">
        <v>90</v>
      </c>
      <c r="J327" s="72">
        <v>5</v>
      </c>
      <c r="K327" s="71">
        <v>11</v>
      </c>
      <c r="L327" s="116"/>
      <c r="M327" s="116">
        <f>478500/1936.27</f>
        <v>247.12462621431928</v>
      </c>
      <c r="N327" s="84">
        <f>PRODUCT(M327*34)+(M327*34*5%)</f>
        <v>8822.3491558512</v>
      </c>
      <c r="O327" s="117">
        <f>16500000/1936.27*1.0797</f>
        <v>9200.705480124157</v>
      </c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s="13" customFormat="1" ht="18" customHeight="1">
      <c r="A328" s="227" t="s">
        <v>8</v>
      </c>
      <c r="B328" s="71" t="s">
        <v>71</v>
      </c>
      <c r="C328" s="100" t="s">
        <v>95</v>
      </c>
      <c r="D328" s="100" t="s">
        <v>347</v>
      </c>
      <c r="E328" s="100">
        <v>325</v>
      </c>
      <c r="F328" s="100">
        <v>39</v>
      </c>
      <c r="G328" s="100">
        <v>371</v>
      </c>
      <c r="H328" s="71">
        <v>3</v>
      </c>
      <c r="I328" s="72" t="s">
        <v>200</v>
      </c>
      <c r="J328" s="72">
        <v>2</v>
      </c>
      <c r="K328" s="71">
        <v>93</v>
      </c>
      <c r="L328" s="134"/>
      <c r="M328" s="134">
        <v>429.8</v>
      </c>
      <c r="N328" s="84">
        <v>36815.37</v>
      </c>
      <c r="O328" s="117">
        <v>36000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s="13" customFormat="1" ht="18" customHeight="1">
      <c r="A329" s="227" t="s">
        <v>8</v>
      </c>
      <c r="B329" s="71" t="s">
        <v>71</v>
      </c>
      <c r="C329" s="100" t="s">
        <v>348</v>
      </c>
      <c r="D329" s="100" t="s">
        <v>349</v>
      </c>
      <c r="E329" s="100"/>
      <c r="F329" s="100"/>
      <c r="G329" s="100"/>
      <c r="H329" s="71"/>
      <c r="I329" s="72"/>
      <c r="J329" s="72"/>
      <c r="K329" s="71"/>
      <c r="L329" s="134"/>
      <c r="M329" s="134"/>
      <c r="N329" s="84">
        <f>PRODUCT(M329*100)+(M329*100*5%)</f>
        <v>0</v>
      </c>
      <c r="O329" s="117">
        <v>13000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s="13" customFormat="1" ht="18" customHeight="1">
      <c r="A330" s="227" t="s">
        <v>8</v>
      </c>
      <c r="B330" s="71" t="s">
        <v>71</v>
      </c>
      <c r="C330" s="100" t="s">
        <v>350</v>
      </c>
      <c r="D330" s="100" t="s">
        <v>351</v>
      </c>
      <c r="E330" s="100">
        <v>325</v>
      </c>
      <c r="F330" s="100">
        <v>39</v>
      </c>
      <c r="G330" s="100">
        <v>371</v>
      </c>
      <c r="H330" s="71">
        <v>2</v>
      </c>
      <c r="I330" s="72" t="s">
        <v>200</v>
      </c>
      <c r="J330" s="72">
        <v>1</v>
      </c>
      <c r="K330" s="71">
        <v>87</v>
      </c>
      <c r="L330" s="134"/>
      <c r="M330" s="134">
        <f>539400/1936.27</f>
        <v>278.57685136886903</v>
      </c>
      <c r="N330" s="84">
        <f>PRODUCT(M330*100)+(M330*100*5%)</f>
        <v>29250.569393731246</v>
      </c>
      <c r="O330" s="117">
        <f>54000000/1936.27*1.0797</f>
        <v>30111.399753133606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s="13" customFormat="1" ht="18" customHeight="1">
      <c r="A331" s="225" t="s">
        <v>8</v>
      </c>
      <c r="B331" s="107" t="s">
        <v>71</v>
      </c>
      <c r="C331" s="154" t="s">
        <v>352</v>
      </c>
      <c r="D331" s="154" t="s">
        <v>353</v>
      </c>
      <c r="E331" s="154">
        <v>3543</v>
      </c>
      <c r="F331" s="154">
        <v>39</v>
      </c>
      <c r="G331" s="154">
        <v>353</v>
      </c>
      <c r="H331" s="107">
        <v>1</v>
      </c>
      <c r="I331" s="109" t="s">
        <v>243</v>
      </c>
      <c r="J331" s="109">
        <v>2</v>
      </c>
      <c r="K331" s="107">
        <v>41</v>
      </c>
      <c r="L331" s="136"/>
      <c r="M331" s="136">
        <f>299300/1936.27</f>
        <v>154.5755498974833</v>
      </c>
      <c r="N331" s="112">
        <f>PRODUCT(M331*100)+(M331*100*5%)</f>
        <v>16230.432739235748</v>
      </c>
      <c r="O331" s="20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s="13" customFormat="1" ht="18" customHeight="1">
      <c r="A332" s="226" t="s">
        <v>8</v>
      </c>
      <c r="B332" s="80" t="s">
        <v>71</v>
      </c>
      <c r="C332" s="105" t="s">
        <v>352</v>
      </c>
      <c r="D332" s="105" t="s">
        <v>353</v>
      </c>
      <c r="E332" s="105">
        <v>3543</v>
      </c>
      <c r="F332" s="105">
        <v>39</v>
      </c>
      <c r="G332" s="105">
        <v>353</v>
      </c>
      <c r="H332" s="80">
        <v>2</v>
      </c>
      <c r="I332" s="81" t="s">
        <v>90</v>
      </c>
      <c r="J332" s="81">
        <v>1</v>
      </c>
      <c r="K332" s="80">
        <v>44</v>
      </c>
      <c r="L332" s="114"/>
      <c r="M332" s="114">
        <f>1042800/1936.27</f>
        <v>538.5612543705165</v>
      </c>
      <c r="N332" s="84">
        <f>PRODUCT(M332*34)+(M332*34*5%)</f>
        <v>19226.636781027442</v>
      </c>
      <c r="O332" s="186">
        <f>55000000/1936.27*1.0797</f>
        <v>30669.018267080526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s="13" customFormat="1" ht="18" customHeight="1">
      <c r="A333" s="227" t="s">
        <v>8</v>
      </c>
      <c r="B333" s="71" t="s">
        <v>71</v>
      </c>
      <c r="C333" s="100" t="s">
        <v>354</v>
      </c>
      <c r="D333" s="100" t="s">
        <v>355</v>
      </c>
      <c r="E333" s="100">
        <v>3543</v>
      </c>
      <c r="F333" s="100">
        <v>39</v>
      </c>
      <c r="G333" s="100">
        <v>353</v>
      </c>
      <c r="H333" s="71">
        <v>3</v>
      </c>
      <c r="I333" s="72" t="s">
        <v>74</v>
      </c>
      <c r="J333" s="72">
        <v>3</v>
      </c>
      <c r="K333" s="71">
        <v>49</v>
      </c>
      <c r="L333" s="134"/>
      <c r="M333" s="134">
        <f>230300/1936.27</f>
        <v>118.94002386030874</v>
      </c>
      <c r="N333" s="84">
        <f aca="true" t="shared" si="12" ref="N333:N342">PRODUCT(M333*100)+(M333*100*5%)</f>
        <v>12488.702505332418</v>
      </c>
      <c r="O333" s="117">
        <f>11000000/1936.27*1.0797</f>
        <v>6133.803653416105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s="13" customFormat="1" ht="18" customHeight="1">
      <c r="A334" s="225" t="s">
        <v>8</v>
      </c>
      <c r="B334" s="107" t="s">
        <v>71</v>
      </c>
      <c r="C334" s="154" t="s">
        <v>356</v>
      </c>
      <c r="D334" s="154" t="s">
        <v>357</v>
      </c>
      <c r="E334" s="154">
        <v>3543</v>
      </c>
      <c r="F334" s="154">
        <v>39</v>
      </c>
      <c r="G334" s="154" t="s">
        <v>358</v>
      </c>
      <c r="H334" s="107"/>
      <c r="I334" s="109" t="s">
        <v>100</v>
      </c>
      <c r="J334" s="109">
        <v>2</v>
      </c>
      <c r="K334" s="107">
        <v>6</v>
      </c>
      <c r="L334" s="136"/>
      <c r="M334" s="136">
        <f>504000/1936.27</f>
        <v>260.2942771411012</v>
      </c>
      <c r="N334" s="112">
        <f t="shared" si="12"/>
        <v>27330.899099815626</v>
      </c>
      <c r="O334" s="202">
        <f>103000000/1936.27*1.0797</f>
        <v>57434.70693653262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s="13" customFormat="1" ht="18" customHeight="1">
      <c r="A335" s="226" t="s">
        <v>8</v>
      </c>
      <c r="B335" s="80" t="s">
        <v>71</v>
      </c>
      <c r="C335" s="105" t="s">
        <v>359</v>
      </c>
      <c r="D335" s="105" t="s">
        <v>360</v>
      </c>
      <c r="E335" s="105"/>
      <c r="F335" s="105"/>
      <c r="G335" s="105"/>
      <c r="H335" s="80"/>
      <c r="I335" s="81"/>
      <c r="J335" s="81"/>
      <c r="K335" s="80"/>
      <c r="L335" s="205"/>
      <c r="M335" s="205"/>
      <c r="N335" s="84">
        <f t="shared" si="12"/>
        <v>0</v>
      </c>
      <c r="O335" s="189">
        <f>47500000/1936.27*1.0797</f>
        <v>26486.879412478636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s="13" customFormat="1" ht="18" customHeight="1">
      <c r="A336" s="225" t="s">
        <v>8</v>
      </c>
      <c r="B336" s="107" t="s">
        <v>510</v>
      </c>
      <c r="C336" s="154" t="s">
        <v>361</v>
      </c>
      <c r="D336" s="154" t="s">
        <v>594</v>
      </c>
      <c r="E336" s="154">
        <v>3543</v>
      </c>
      <c r="F336" s="154">
        <v>45</v>
      </c>
      <c r="G336" s="154">
        <v>328</v>
      </c>
      <c r="H336" s="107"/>
      <c r="I336" s="109" t="s">
        <v>79</v>
      </c>
      <c r="J336" s="109" t="s">
        <v>23</v>
      </c>
      <c r="K336" s="140">
        <v>78866</v>
      </c>
      <c r="L336" s="142"/>
      <c r="M336" s="142">
        <v>65169.34</v>
      </c>
      <c r="N336" s="112">
        <f t="shared" si="12"/>
        <v>6842780.7</v>
      </c>
      <c r="O336" s="19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s="13" customFormat="1" ht="18" customHeight="1">
      <c r="A337" s="226" t="s">
        <v>8</v>
      </c>
      <c r="B337" s="80" t="s">
        <v>510</v>
      </c>
      <c r="C337" s="105" t="s">
        <v>361</v>
      </c>
      <c r="D337" s="105" t="s">
        <v>362</v>
      </c>
      <c r="E337" s="105">
        <v>3543</v>
      </c>
      <c r="F337" s="105">
        <v>45</v>
      </c>
      <c r="G337" s="105">
        <v>689</v>
      </c>
      <c r="H337" s="80">
        <v>1</v>
      </c>
      <c r="I337" s="81" t="s">
        <v>90</v>
      </c>
      <c r="J337" s="81">
        <v>4</v>
      </c>
      <c r="K337" s="80">
        <v>39</v>
      </c>
      <c r="L337" s="114"/>
      <c r="M337" s="114">
        <v>753.3</v>
      </c>
      <c r="N337" s="84">
        <f>PRODUCT(M337*34)+(M337*34*5%)</f>
        <v>26892.809999999998</v>
      </c>
      <c r="O337" s="189">
        <f>SUM(N336:N337)*5</f>
        <v>34348367.55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s="16" customFormat="1" ht="18" customHeight="1" thickBot="1">
      <c r="A338" s="227" t="s">
        <v>8</v>
      </c>
      <c r="B338" s="71" t="s">
        <v>71</v>
      </c>
      <c r="C338" s="100" t="s">
        <v>363</v>
      </c>
      <c r="D338" s="100" t="s">
        <v>364</v>
      </c>
      <c r="E338" s="100">
        <v>530</v>
      </c>
      <c r="F338" s="100">
        <v>37</v>
      </c>
      <c r="G338" s="100">
        <v>671</v>
      </c>
      <c r="H338" s="71"/>
      <c r="I338" s="72" t="s">
        <v>250</v>
      </c>
      <c r="J338" s="72"/>
      <c r="K338" s="71"/>
      <c r="L338" s="116"/>
      <c r="M338" s="116">
        <f>3432000/1936.27</f>
        <v>1772.4800776751176</v>
      </c>
      <c r="N338" s="60">
        <f>PRODUCT(M338*50)+(M338*50*5%)</f>
        <v>93055.20407794368</v>
      </c>
      <c r="O338" s="117">
        <f>225000000/1936.27*1.0797</f>
        <v>125464.16563805669</v>
      </c>
      <c r="P338" s="1" t="s">
        <v>365</v>
      </c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s="19" customFormat="1" ht="18" customHeight="1" thickTop="1">
      <c r="A339" s="227" t="s">
        <v>8</v>
      </c>
      <c r="B339" s="71" t="s">
        <v>71</v>
      </c>
      <c r="C339" s="100" t="s">
        <v>609</v>
      </c>
      <c r="D339" s="100" t="s">
        <v>366</v>
      </c>
      <c r="E339" s="100">
        <v>530</v>
      </c>
      <c r="F339" s="100">
        <v>37</v>
      </c>
      <c r="G339" s="100">
        <v>667</v>
      </c>
      <c r="H339" s="71"/>
      <c r="I339" s="72" t="s">
        <v>200</v>
      </c>
      <c r="J339" s="72">
        <v>2</v>
      </c>
      <c r="K339" s="71">
        <v>120</v>
      </c>
      <c r="L339" s="134"/>
      <c r="M339" s="134">
        <f>876000/1936.27</f>
        <v>452.4162436023902</v>
      </c>
      <c r="N339" s="192">
        <f>91980000/1936.27</f>
        <v>47503.70557825097</v>
      </c>
      <c r="O339" s="117">
        <f>42000000/1936.27*1.0797</f>
        <v>23419.977585770583</v>
      </c>
      <c r="P339" s="1" t="s">
        <v>367</v>
      </c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s="12" customFormat="1" ht="18" customHeight="1">
      <c r="A340" s="227" t="s">
        <v>8</v>
      </c>
      <c r="B340" s="71" t="s">
        <v>71</v>
      </c>
      <c r="C340" s="100" t="s">
        <v>368</v>
      </c>
      <c r="D340" s="100" t="s">
        <v>369</v>
      </c>
      <c r="E340" s="100">
        <v>530</v>
      </c>
      <c r="F340" s="100">
        <v>37</v>
      </c>
      <c r="G340" s="100">
        <v>1481</v>
      </c>
      <c r="H340" s="71">
        <v>2</v>
      </c>
      <c r="I340" s="72" t="s">
        <v>200</v>
      </c>
      <c r="J340" s="72">
        <v>2</v>
      </c>
      <c r="K340" s="71">
        <v>75</v>
      </c>
      <c r="L340" s="134"/>
      <c r="M340" s="134">
        <f>547500/1936.27</f>
        <v>282.7601522514939</v>
      </c>
      <c r="N340" s="84">
        <f t="shared" si="12"/>
        <v>29689.81598640686</v>
      </c>
      <c r="O340" s="117">
        <f>26000000/1936.27*1.0797</f>
        <v>14498.081362619885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s="13" customFormat="1" ht="18" customHeight="1">
      <c r="A341" s="227" t="s">
        <v>8</v>
      </c>
      <c r="B341" s="71" t="s">
        <v>71</v>
      </c>
      <c r="C341" s="100" t="s">
        <v>370</v>
      </c>
      <c r="D341" s="100" t="s">
        <v>371</v>
      </c>
      <c r="E341" s="100">
        <v>2953</v>
      </c>
      <c r="F341" s="100">
        <v>37</v>
      </c>
      <c r="G341" s="100">
        <v>675</v>
      </c>
      <c r="H341" s="71"/>
      <c r="I341" s="72" t="s">
        <v>77</v>
      </c>
      <c r="J341" s="72">
        <v>1</v>
      </c>
      <c r="K341" s="71">
        <v>1</v>
      </c>
      <c r="L341" s="134"/>
      <c r="M341" s="134">
        <f>66000/1936.27</f>
        <v>34.08615533990611</v>
      </c>
      <c r="N341" s="84">
        <f t="shared" si="12"/>
        <v>3579.0463106901416</v>
      </c>
      <c r="O341" s="117">
        <f>36000000/1936.27*1.0797</f>
        <v>20074.26650208907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s="13" customFormat="1" ht="18" customHeight="1">
      <c r="A342" s="227" t="s">
        <v>8</v>
      </c>
      <c r="B342" s="71" t="s">
        <v>510</v>
      </c>
      <c r="C342" s="100" t="s">
        <v>372</v>
      </c>
      <c r="D342" s="100" t="s">
        <v>373</v>
      </c>
      <c r="E342" s="100">
        <v>3408</v>
      </c>
      <c r="F342" s="100">
        <v>46</v>
      </c>
      <c r="G342" s="100">
        <v>678</v>
      </c>
      <c r="H342" s="71"/>
      <c r="I342" s="72" t="s">
        <v>24</v>
      </c>
      <c r="J342" s="72" t="s">
        <v>23</v>
      </c>
      <c r="K342" s="71">
        <v>931</v>
      </c>
      <c r="L342" s="74"/>
      <c r="M342" s="74">
        <f>1303400/1936.27</f>
        <v>673.1499222732367</v>
      </c>
      <c r="N342" s="84">
        <f t="shared" si="12"/>
        <v>70680.74183868986</v>
      </c>
      <c r="O342" s="189">
        <f>SUM(N342)*5</f>
        <v>353403.70919344935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s="13" customFormat="1" ht="18" customHeight="1">
      <c r="A343" s="227" t="s">
        <v>25</v>
      </c>
      <c r="B343" s="71" t="s">
        <v>71</v>
      </c>
      <c r="C343" s="100" t="s">
        <v>374</v>
      </c>
      <c r="D343" s="100" t="s">
        <v>375</v>
      </c>
      <c r="E343" s="100">
        <v>8507</v>
      </c>
      <c r="F343" s="100">
        <v>4</v>
      </c>
      <c r="G343" s="100">
        <v>3</v>
      </c>
      <c r="H343" s="71"/>
      <c r="I343" s="71" t="s">
        <v>131</v>
      </c>
      <c r="J343" s="72">
        <v>3</v>
      </c>
      <c r="K343" s="71" t="s">
        <v>376</v>
      </c>
      <c r="L343" s="88">
        <v>76.31</v>
      </c>
      <c r="M343" s="88">
        <v>99.21</v>
      </c>
      <c r="N343" s="75">
        <f aca="true" t="shared" si="13" ref="N343:N393">PRODUCT(M343*75)+(M343*75*25%)</f>
        <v>9300.937499999998</v>
      </c>
      <c r="O343" s="117">
        <f>25000000/1936.27*1.0797</f>
        <v>13940.462848672965</v>
      </c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s="13" customFormat="1" ht="18" customHeight="1">
      <c r="A344" s="227" t="s">
        <v>25</v>
      </c>
      <c r="B344" s="71" t="s">
        <v>71</v>
      </c>
      <c r="C344" s="100" t="s">
        <v>377</v>
      </c>
      <c r="D344" s="100" t="s">
        <v>378</v>
      </c>
      <c r="E344" s="100">
        <v>8507</v>
      </c>
      <c r="F344" s="100">
        <v>4</v>
      </c>
      <c r="G344" s="100">
        <v>56</v>
      </c>
      <c r="H344" s="71"/>
      <c r="I344" s="71" t="s">
        <v>131</v>
      </c>
      <c r="J344" s="72">
        <v>2</v>
      </c>
      <c r="K344" s="71" t="s">
        <v>379</v>
      </c>
      <c r="L344" s="88">
        <v>50.65</v>
      </c>
      <c r="M344" s="88">
        <v>108.33</v>
      </c>
      <c r="N344" s="75">
        <f t="shared" si="13"/>
        <v>10155.9375</v>
      </c>
      <c r="O344" s="117">
        <f>10000000/1936.27*1.0797</f>
        <v>5576.185139469187</v>
      </c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s="13" customFormat="1" ht="18" customHeight="1">
      <c r="A345" s="225" t="s">
        <v>25</v>
      </c>
      <c r="B345" s="107" t="s">
        <v>71</v>
      </c>
      <c r="C345" s="154" t="s">
        <v>505</v>
      </c>
      <c r="D345" s="154" t="s">
        <v>380</v>
      </c>
      <c r="E345" s="154">
        <v>8507</v>
      </c>
      <c r="F345" s="154">
        <v>44</v>
      </c>
      <c r="G345" s="154">
        <v>1181</v>
      </c>
      <c r="H345" s="107"/>
      <c r="I345" s="107" t="s">
        <v>46</v>
      </c>
      <c r="J345" s="109">
        <v>1</v>
      </c>
      <c r="K345" s="107" t="s">
        <v>381</v>
      </c>
      <c r="L345" s="150">
        <v>3.3</v>
      </c>
      <c r="M345" s="150">
        <v>5.7</v>
      </c>
      <c r="N345" s="112">
        <f t="shared" si="13"/>
        <v>534.375</v>
      </c>
      <c r="O345" s="20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s="13" customFormat="1" ht="24.75" customHeight="1">
      <c r="A346" s="226" t="s">
        <v>25</v>
      </c>
      <c r="B346" s="80" t="s">
        <v>71</v>
      </c>
      <c r="C346" s="105" t="s">
        <v>505</v>
      </c>
      <c r="D346" s="105" t="s">
        <v>380</v>
      </c>
      <c r="E346" s="105">
        <v>899641</v>
      </c>
      <c r="F346" s="105">
        <v>44</v>
      </c>
      <c r="G346" s="105">
        <v>1095</v>
      </c>
      <c r="H346" s="80"/>
      <c r="I346" s="80" t="s">
        <v>46</v>
      </c>
      <c r="J346" s="81">
        <v>2</v>
      </c>
      <c r="K346" s="80" t="s">
        <v>382</v>
      </c>
      <c r="L346" s="83">
        <v>0.31</v>
      </c>
      <c r="M346" s="83">
        <v>0.5</v>
      </c>
      <c r="N346" s="84">
        <f t="shared" si="13"/>
        <v>46.875</v>
      </c>
      <c r="O346" s="186">
        <f>386400000/1936.27*1.0797</f>
        <v>215463.79378908937</v>
      </c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15" ht="17.25" customHeight="1">
      <c r="A347" s="212" t="s">
        <v>581</v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43"/>
      <c r="M347" s="43"/>
      <c r="N347" s="43"/>
      <c r="O347" s="43"/>
    </row>
    <row r="348" spans="1:36" ht="17.25" customHeight="1">
      <c r="A348" s="160" t="s">
        <v>1</v>
      </c>
      <c r="B348" s="161" t="s">
        <v>479</v>
      </c>
      <c r="C348" s="161" t="s">
        <v>478</v>
      </c>
      <c r="D348" s="161" t="s">
        <v>477</v>
      </c>
      <c r="E348" s="161" t="s">
        <v>2</v>
      </c>
      <c r="F348" s="161" t="s">
        <v>3</v>
      </c>
      <c r="G348" s="162" t="s">
        <v>480</v>
      </c>
      <c r="H348" s="161" t="s">
        <v>4</v>
      </c>
      <c r="I348" s="160" t="s">
        <v>5</v>
      </c>
      <c r="J348" s="160" t="s">
        <v>6</v>
      </c>
      <c r="K348" s="160" t="s">
        <v>7</v>
      </c>
      <c r="L348" s="220" t="s">
        <v>455</v>
      </c>
      <c r="M348" s="163" t="s">
        <v>468</v>
      </c>
      <c r="N348" s="164" t="s">
        <v>508</v>
      </c>
      <c r="O348" s="164" t="s">
        <v>507</v>
      </c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1.25" customHeight="1">
      <c r="A349" s="166"/>
      <c r="B349" s="167"/>
      <c r="C349" s="167"/>
      <c r="D349" s="167"/>
      <c r="E349" s="166"/>
      <c r="F349" s="167"/>
      <c r="G349" s="168"/>
      <c r="H349" s="167"/>
      <c r="I349" s="166"/>
      <c r="J349" s="166"/>
      <c r="K349" s="166"/>
      <c r="L349" s="169" t="s">
        <v>509</v>
      </c>
      <c r="M349" s="169" t="s">
        <v>509</v>
      </c>
      <c r="N349" s="170" t="s">
        <v>509</v>
      </c>
      <c r="O349" s="221" t="s">
        <v>513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s="13" customFormat="1" ht="17.25" customHeight="1">
      <c r="A350" s="230" t="s">
        <v>25</v>
      </c>
      <c r="B350" s="67" t="s">
        <v>71</v>
      </c>
      <c r="C350" s="191" t="s">
        <v>383</v>
      </c>
      <c r="D350" s="191" t="s">
        <v>384</v>
      </c>
      <c r="E350" s="191">
        <v>4334</v>
      </c>
      <c r="F350" s="191">
        <v>9</v>
      </c>
      <c r="G350" s="191">
        <v>1</v>
      </c>
      <c r="H350" s="67"/>
      <c r="I350" s="67" t="s">
        <v>57</v>
      </c>
      <c r="J350" s="68">
        <v>3</v>
      </c>
      <c r="K350" s="67" t="s">
        <v>385</v>
      </c>
      <c r="L350" s="78">
        <v>391.92</v>
      </c>
      <c r="M350" s="78">
        <v>570.06</v>
      </c>
      <c r="N350" s="69">
        <f t="shared" si="13"/>
        <v>53443.12499999999</v>
      </c>
      <c r="O350" s="20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s="13" customFormat="1" ht="17.25" customHeight="1">
      <c r="A351" s="228" t="s">
        <v>25</v>
      </c>
      <c r="B351" s="56" t="s">
        <v>71</v>
      </c>
      <c r="C351" s="102" t="s">
        <v>383</v>
      </c>
      <c r="D351" s="102" t="s">
        <v>384</v>
      </c>
      <c r="E351" s="102">
        <v>4334</v>
      </c>
      <c r="F351" s="102">
        <v>9</v>
      </c>
      <c r="G351" s="102">
        <v>2</v>
      </c>
      <c r="H351" s="56"/>
      <c r="I351" s="56" t="s">
        <v>131</v>
      </c>
      <c r="J351" s="57">
        <v>3</v>
      </c>
      <c r="K351" s="56" t="s">
        <v>386</v>
      </c>
      <c r="L351" s="62">
        <v>375.51</v>
      </c>
      <c r="M351" s="62">
        <v>488.17</v>
      </c>
      <c r="N351" s="60">
        <f t="shared" si="13"/>
        <v>45765.9375</v>
      </c>
      <c r="O351" s="20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s="13" customFormat="1" ht="17.25" customHeight="1">
      <c r="A352" s="228" t="s">
        <v>25</v>
      </c>
      <c r="B352" s="56" t="s">
        <v>71</v>
      </c>
      <c r="C352" s="102" t="s">
        <v>383</v>
      </c>
      <c r="D352" s="102" t="s">
        <v>384</v>
      </c>
      <c r="E352" s="102">
        <v>4334</v>
      </c>
      <c r="F352" s="102">
        <v>9</v>
      </c>
      <c r="G352" s="102">
        <v>4</v>
      </c>
      <c r="H352" s="56"/>
      <c r="I352" s="56" t="s">
        <v>46</v>
      </c>
      <c r="J352" s="57">
        <v>1</v>
      </c>
      <c r="K352" s="56" t="s">
        <v>387</v>
      </c>
      <c r="L352" s="62">
        <v>140.05</v>
      </c>
      <c r="M352" s="62">
        <v>241.91</v>
      </c>
      <c r="N352" s="60">
        <f t="shared" si="13"/>
        <v>22679.0625</v>
      </c>
      <c r="O352" s="20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s="13" customFormat="1" ht="17.25" customHeight="1">
      <c r="A353" s="228" t="s">
        <v>25</v>
      </c>
      <c r="B353" s="56" t="s">
        <v>71</v>
      </c>
      <c r="C353" s="102" t="s">
        <v>383</v>
      </c>
      <c r="D353" s="102" t="s">
        <v>384</v>
      </c>
      <c r="E353" s="102">
        <v>4334</v>
      </c>
      <c r="F353" s="102">
        <v>9</v>
      </c>
      <c r="G353" s="102">
        <v>5</v>
      </c>
      <c r="H353" s="56"/>
      <c r="I353" s="56" t="s">
        <v>63</v>
      </c>
      <c r="J353" s="57" t="s">
        <v>23</v>
      </c>
      <c r="K353" s="56" t="s">
        <v>388</v>
      </c>
      <c r="L353" s="62">
        <v>0.6</v>
      </c>
      <c r="M353" s="62">
        <v>1.3</v>
      </c>
      <c r="N353" s="60">
        <f t="shared" si="13"/>
        <v>121.875</v>
      </c>
      <c r="O353" s="20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s="13" customFormat="1" ht="17.25" customHeight="1">
      <c r="A354" s="228" t="s">
        <v>25</v>
      </c>
      <c r="B354" s="56" t="s">
        <v>71</v>
      </c>
      <c r="C354" s="102" t="s">
        <v>383</v>
      </c>
      <c r="D354" s="102" t="s">
        <v>384</v>
      </c>
      <c r="E354" s="102">
        <v>4334</v>
      </c>
      <c r="F354" s="102">
        <v>9</v>
      </c>
      <c r="G354" s="102">
        <v>8</v>
      </c>
      <c r="H354" s="56"/>
      <c r="I354" s="56" t="s">
        <v>57</v>
      </c>
      <c r="J354" s="57">
        <v>3</v>
      </c>
      <c r="K354" s="56" t="s">
        <v>389</v>
      </c>
      <c r="L354" s="62">
        <v>112.59</v>
      </c>
      <c r="M354" s="62">
        <v>163.76</v>
      </c>
      <c r="N354" s="60">
        <f t="shared" si="13"/>
        <v>15352.5</v>
      </c>
      <c r="O354" s="20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s="13" customFormat="1" ht="17.25" customHeight="1">
      <c r="A355" s="228" t="s">
        <v>25</v>
      </c>
      <c r="B355" s="56" t="s">
        <v>71</v>
      </c>
      <c r="C355" s="102" t="s">
        <v>383</v>
      </c>
      <c r="D355" s="102" t="s">
        <v>384</v>
      </c>
      <c r="E355" s="102">
        <v>4334</v>
      </c>
      <c r="F355" s="102">
        <v>9</v>
      </c>
      <c r="G355" s="102">
        <v>9</v>
      </c>
      <c r="H355" s="56"/>
      <c r="I355" s="56" t="s">
        <v>46</v>
      </c>
      <c r="J355" s="57">
        <v>1</v>
      </c>
      <c r="K355" s="56" t="s">
        <v>390</v>
      </c>
      <c r="L355" s="62">
        <v>101.58</v>
      </c>
      <c r="M355" s="62">
        <v>175.45</v>
      </c>
      <c r="N355" s="60">
        <f t="shared" si="13"/>
        <v>16448.4375</v>
      </c>
      <c r="O355" s="20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s="13" customFormat="1" ht="17.25" customHeight="1">
      <c r="A356" s="228" t="s">
        <v>25</v>
      </c>
      <c r="B356" s="56" t="s">
        <v>71</v>
      </c>
      <c r="C356" s="102" t="s">
        <v>383</v>
      </c>
      <c r="D356" s="102" t="s">
        <v>384</v>
      </c>
      <c r="E356" s="102">
        <v>4334</v>
      </c>
      <c r="F356" s="102">
        <v>9</v>
      </c>
      <c r="G356" s="102">
        <v>26</v>
      </c>
      <c r="H356" s="56"/>
      <c r="I356" s="56" t="s">
        <v>131</v>
      </c>
      <c r="J356" s="57">
        <v>3</v>
      </c>
      <c r="K356" s="56" t="s">
        <v>391</v>
      </c>
      <c r="L356" s="62">
        <v>27.27</v>
      </c>
      <c r="M356" s="62">
        <v>35.45</v>
      </c>
      <c r="N356" s="60">
        <f t="shared" si="13"/>
        <v>3323.4375</v>
      </c>
      <c r="O356" s="20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s="13" customFormat="1" ht="17.25" customHeight="1">
      <c r="A357" s="228" t="s">
        <v>25</v>
      </c>
      <c r="B357" s="56" t="s">
        <v>71</v>
      </c>
      <c r="C357" s="102" t="s">
        <v>383</v>
      </c>
      <c r="D357" s="102" t="s">
        <v>384</v>
      </c>
      <c r="E357" s="102">
        <v>4334</v>
      </c>
      <c r="F357" s="102">
        <v>9</v>
      </c>
      <c r="G357" s="102">
        <v>29</v>
      </c>
      <c r="H357" s="56"/>
      <c r="I357" s="56" t="s">
        <v>46</v>
      </c>
      <c r="J357" s="57">
        <v>1</v>
      </c>
      <c r="K357" s="56" t="s">
        <v>392</v>
      </c>
      <c r="L357" s="62">
        <v>115.13</v>
      </c>
      <c r="M357" s="62">
        <v>198.85</v>
      </c>
      <c r="N357" s="60">
        <f t="shared" si="13"/>
        <v>18642.1875</v>
      </c>
      <c r="O357" s="20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s="13" customFormat="1" ht="17.25" customHeight="1">
      <c r="A358" s="228" t="s">
        <v>25</v>
      </c>
      <c r="B358" s="56" t="s">
        <v>71</v>
      </c>
      <c r="C358" s="102" t="s">
        <v>383</v>
      </c>
      <c r="D358" s="102" t="s">
        <v>384</v>
      </c>
      <c r="E358" s="102">
        <v>4334</v>
      </c>
      <c r="F358" s="102">
        <v>10</v>
      </c>
      <c r="G358" s="102">
        <v>1</v>
      </c>
      <c r="H358" s="56"/>
      <c r="I358" s="56" t="s">
        <v>131</v>
      </c>
      <c r="J358" s="57">
        <v>4</v>
      </c>
      <c r="K358" s="56" t="s">
        <v>393</v>
      </c>
      <c r="L358" s="62">
        <v>34.82</v>
      </c>
      <c r="M358" s="62">
        <v>47.87</v>
      </c>
      <c r="N358" s="60">
        <f t="shared" si="13"/>
        <v>4487.8125</v>
      </c>
      <c r="O358" s="20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s="13" customFormat="1" ht="17.25" customHeight="1">
      <c r="A359" s="228" t="s">
        <v>25</v>
      </c>
      <c r="B359" s="56" t="s">
        <v>71</v>
      </c>
      <c r="C359" s="102" t="s">
        <v>383</v>
      </c>
      <c r="D359" s="102" t="s">
        <v>384</v>
      </c>
      <c r="E359" s="102">
        <v>4334</v>
      </c>
      <c r="F359" s="102">
        <v>10</v>
      </c>
      <c r="G359" s="102">
        <v>3</v>
      </c>
      <c r="H359" s="56"/>
      <c r="I359" s="56" t="s">
        <v>131</v>
      </c>
      <c r="J359" s="57">
        <v>1</v>
      </c>
      <c r="K359" s="56" t="s">
        <v>394</v>
      </c>
      <c r="L359" s="62">
        <v>370.63</v>
      </c>
      <c r="M359" s="62">
        <v>867.61</v>
      </c>
      <c r="N359" s="60">
        <f t="shared" si="13"/>
        <v>81338.4375</v>
      </c>
      <c r="O359" s="20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s="13" customFormat="1" ht="17.25" customHeight="1">
      <c r="A360" s="228" t="s">
        <v>25</v>
      </c>
      <c r="B360" s="56" t="s">
        <v>71</v>
      </c>
      <c r="C360" s="102" t="s">
        <v>383</v>
      </c>
      <c r="D360" s="102" t="s">
        <v>384</v>
      </c>
      <c r="E360" s="102">
        <v>4334</v>
      </c>
      <c r="F360" s="102">
        <v>10</v>
      </c>
      <c r="G360" s="102">
        <v>4</v>
      </c>
      <c r="H360" s="56"/>
      <c r="I360" s="56" t="s">
        <v>63</v>
      </c>
      <c r="J360" s="57">
        <v>3</v>
      </c>
      <c r="K360" s="56" t="s">
        <v>395</v>
      </c>
      <c r="L360" s="62">
        <v>3.29</v>
      </c>
      <c r="M360" s="62">
        <v>6.58</v>
      </c>
      <c r="N360" s="60">
        <f t="shared" si="13"/>
        <v>616.875</v>
      </c>
      <c r="O360" s="20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s="13" customFormat="1" ht="17.25" customHeight="1">
      <c r="A361" s="228" t="s">
        <v>25</v>
      </c>
      <c r="B361" s="56" t="s">
        <v>71</v>
      </c>
      <c r="C361" s="102" t="s">
        <v>383</v>
      </c>
      <c r="D361" s="102" t="s">
        <v>384</v>
      </c>
      <c r="E361" s="102">
        <v>4334</v>
      </c>
      <c r="F361" s="102">
        <v>10</v>
      </c>
      <c r="G361" s="102">
        <v>7</v>
      </c>
      <c r="H361" s="56"/>
      <c r="I361" s="56" t="s">
        <v>46</v>
      </c>
      <c r="J361" s="57">
        <v>2</v>
      </c>
      <c r="K361" s="56" t="s">
        <v>396</v>
      </c>
      <c r="L361" s="62">
        <v>61.07</v>
      </c>
      <c r="M361" s="62">
        <v>97.71</v>
      </c>
      <c r="N361" s="60">
        <f t="shared" si="13"/>
        <v>9160.312499999998</v>
      </c>
      <c r="O361" s="20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s="13" customFormat="1" ht="17.25" customHeight="1">
      <c r="A362" s="228" t="s">
        <v>25</v>
      </c>
      <c r="B362" s="56" t="s">
        <v>71</v>
      </c>
      <c r="C362" s="102" t="s">
        <v>383</v>
      </c>
      <c r="D362" s="102" t="s">
        <v>384</v>
      </c>
      <c r="E362" s="102">
        <v>4334</v>
      </c>
      <c r="F362" s="102">
        <v>10</v>
      </c>
      <c r="G362" s="102">
        <v>8</v>
      </c>
      <c r="H362" s="56"/>
      <c r="I362" s="56" t="s">
        <v>397</v>
      </c>
      <c r="J362" s="57" t="s">
        <v>23</v>
      </c>
      <c r="K362" s="56" t="s">
        <v>398</v>
      </c>
      <c r="L362" s="62">
        <v>40.14</v>
      </c>
      <c r="M362" s="62">
        <v>100.35</v>
      </c>
      <c r="N362" s="60">
        <f t="shared" si="13"/>
        <v>9407.8125</v>
      </c>
      <c r="O362" s="20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s="13" customFormat="1" ht="17.25" customHeight="1">
      <c r="A363" s="228" t="s">
        <v>25</v>
      </c>
      <c r="B363" s="56" t="s">
        <v>71</v>
      </c>
      <c r="C363" s="102" t="s">
        <v>383</v>
      </c>
      <c r="D363" s="102" t="s">
        <v>384</v>
      </c>
      <c r="E363" s="102">
        <v>4334</v>
      </c>
      <c r="F363" s="102">
        <v>10</v>
      </c>
      <c r="G363" s="102">
        <v>9</v>
      </c>
      <c r="H363" s="56"/>
      <c r="I363" s="56" t="s">
        <v>131</v>
      </c>
      <c r="J363" s="57">
        <v>2</v>
      </c>
      <c r="K363" s="56" t="s">
        <v>399</v>
      </c>
      <c r="L363" s="62">
        <v>2015.79</v>
      </c>
      <c r="M363" s="62">
        <v>4311.56</v>
      </c>
      <c r="N363" s="60">
        <f t="shared" si="13"/>
        <v>404208.75000000006</v>
      </c>
      <c r="O363" s="20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s="13" customFormat="1" ht="17.25" customHeight="1">
      <c r="A364" s="228" t="s">
        <v>25</v>
      </c>
      <c r="B364" s="56" t="s">
        <v>71</v>
      </c>
      <c r="C364" s="102" t="s">
        <v>383</v>
      </c>
      <c r="D364" s="102" t="s">
        <v>384</v>
      </c>
      <c r="E364" s="102">
        <v>4334</v>
      </c>
      <c r="F364" s="102">
        <v>10</v>
      </c>
      <c r="G364" s="102">
        <v>10</v>
      </c>
      <c r="H364" s="56"/>
      <c r="I364" s="56" t="s">
        <v>131</v>
      </c>
      <c r="J364" s="57">
        <v>2</v>
      </c>
      <c r="K364" s="56" t="s">
        <v>400</v>
      </c>
      <c r="L364" s="62">
        <v>2364.21</v>
      </c>
      <c r="M364" s="62">
        <v>5056.77</v>
      </c>
      <c r="N364" s="60">
        <f t="shared" si="13"/>
        <v>474072.18750000006</v>
      </c>
      <c r="O364" s="20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s="13" customFormat="1" ht="17.25" customHeight="1">
      <c r="A365" s="228" t="s">
        <v>25</v>
      </c>
      <c r="B365" s="56" t="s">
        <v>71</v>
      </c>
      <c r="C365" s="102" t="s">
        <v>383</v>
      </c>
      <c r="D365" s="102" t="s">
        <v>384</v>
      </c>
      <c r="E365" s="102">
        <v>4334</v>
      </c>
      <c r="F365" s="102">
        <v>10</v>
      </c>
      <c r="G365" s="102">
        <v>11</v>
      </c>
      <c r="H365" s="56"/>
      <c r="I365" s="56" t="s">
        <v>46</v>
      </c>
      <c r="J365" s="57">
        <v>1</v>
      </c>
      <c r="K365" s="56" t="s">
        <v>401</v>
      </c>
      <c r="L365" s="62">
        <v>16.76</v>
      </c>
      <c r="M365" s="62">
        <v>28.94</v>
      </c>
      <c r="N365" s="60">
        <f t="shared" si="13"/>
        <v>2713.125</v>
      </c>
      <c r="O365" s="20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s="13" customFormat="1" ht="17.25" customHeight="1">
      <c r="A366" s="228" t="s">
        <v>25</v>
      </c>
      <c r="B366" s="56" t="s">
        <v>71</v>
      </c>
      <c r="C366" s="102" t="s">
        <v>383</v>
      </c>
      <c r="D366" s="102" t="s">
        <v>384</v>
      </c>
      <c r="E366" s="102">
        <v>4334</v>
      </c>
      <c r="F366" s="102">
        <v>10</v>
      </c>
      <c r="G366" s="102">
        <v>12</v>
      </c>
      <c r="H366" s="56"/>
      <c r="I366" s="56" t="s">
        <v>117</v>
      </c>
      <c r="J366" s="57"/>
      <c r="K366" s="56" t="s">
        <v>402</v>
      </c>
      <c r="L366" s="62">
        <v>0</v>
      </c>
      <c r="M366" s="62">
        <v>0</v>
      </c>
      <c r="N366" s="60">
        <f t="shared" si="13"/>
        <v>0</v>
      </c>
      <c r="O366" s="20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s="13" customFormat="1" ht="17.25" customHeight="1">
      <c r="A367" s="228" t="s">
        <v>25</v>
      </c>
      <c r="B367" s="56" t="s">
        <v>71</v>
      </c>
      <c r="C367" s="102" t="s">
        <v>383</v>
      </c>
      <c r="D367" s="102" t="s">
        <v>384</v>
      </c>
      <c r="E367" s="102">
        <v>4334</v>
      </c>
      <c r="F367" s="102">
        <v>10</v>
      </c>
      <c r="G367" s="102">
        <v>66</v>
      </c>
      <c r="H367" s="56"/>
      <c r="I367" s="56" t="s">
        <v>46</v>
      </c>
      <c r="J367" s="57">
        <v>1</v>
      </c>
      <c r="K367" s="56" t="s">
        <v>403</v>
      </c>
      <c r="L367" s="62">
        <v>11.38</v>
      </c>
      <c r="M367" s="62">
        <v>19.66</v>
      </c>
      <c r="N367" s="60">
        <f t="shared" si="13"/>
        <v>1843.125</v>
      </c>
      <c r="O367" s="20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s="13" customFormat="1" ht="17.25" customHeight="1">
      <c r="A368" s="228" t="s">
        <v>25</v>
      </c>
      <c r="B368" s="56" t="s">
        <v>71</v>
      </c>
      <c r="C368" s="102" t="s">
        <v>383</v>
      </c>
      <c r="D368" s="102" t="s">
        <v>384</v>
      </c>
      <c r="E368" s="102">
        <v>4334</v>
      </c>
      <c r="F368" s="102">
        <v>10</v>
      </c>
      <c r="G368" s="102">
        <v>69</v>
      </c>
      <c r="H368" s="56"/>
      <c r="I368" s="56" t="s">
        <v>46</v>
      </c>
      <c r="J368" s="57">
        <v>2</v>
      </c>
      <c r="K368" s="56" t="s">
        <v>404</v>
      </c>
      <c r="L368" s="62">
        <v>5.37</v>
      </c>
      <c r="M368" s="62">
        <v>8.59</v>
      </c>
      <c r="N368" s="60">
        <f t="shared" si="13"/>
        <v>805.3125</v>
      </c>
      <c r="O368" s="20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s="13" customFormat="1" ht="17.25" customHeight="1">
      <c r="A369" s="228" t="s">
        <v>25</v>
      </c>
      <c r="B369" s="56" t="s">
        <v>71</v>
      </c>
      <c r="C369" s="102" t="s">
        <v>383</v>
      </c>
      <c r="D369" s="102" t="s">
        <v>384</v>
      </c>
      <c r="E369" s="102">
        <v>4334</v>
      </c>
      <c r="F369" s="102">
        <v>10</v>
      </c>
      <c r="G369" s="102">
        <v>84</v>
      </c>
      <c r="H369" s="56"/>
      <c r="I369" s="56" t="s">
        <v>131</v>
      </c>
      <c r="J369" s="57">
        <v>4</v>
      </c>
      <c r="K369" s="56" t="s">
        <v>405</v>
      </c>
      <c r="L369" s="62">
        <v>775.26</v>
      </c>
      <c r="M369" s="62">
        <v>1065.98</v>
      </c>
      <c r="N369" s="60">
        <f t="shared" si="13"/>
        <v>99935.625</v>
      </c>
      <c r="O369" s="20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s="13" customFormat="1" ht="17.25" customHeight="1">
      <c r="A370" s="228" t="s">
        <v>25</v>
      </c>
      <c r="B370" s="56" t="s">
        <v>71</v>
      </c>
      <c r="C370" s="102" t="s">
        <v>383</v>
      </c>
      <c r="D370" s="102" t="s">
        <v>384</v>
      </c>
      <c r="E370" s="102">
        <v>4334</v>
      </c>
      <c r="F370" s="102">
        <v>10</v>
      </c>
      <c r="G370" s="102">
        <v>85</v>
      </c>
      <c r="H370" s="56"/>
      <c r="I370" s="56" t="s">
        <v>131</v>
      </c>
      <c r="J370" s="57">
        <v>3</v>
      </c>
      <c r="K370" s="56" t="s">
        <v>406</v>
      </c>
      <c r="L370" s="62">
        <v>229.23</v>
      </c>
      <c r="M370" s="62">
        <v>298</v>
      </c>
      <c r="N370" s="60">
        <f t="shared" si="13"/>
        <v>27937.5</v>
      </c>
      <c r="O370" s="20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s="13" customFormat="1" ht="17.25" customHeight="1">
      <c r="A371" s="228" t="s">
        <v>25</v>
      </c>
      <c r="B371" s="56" t="s">
        <v>71</v>
      </c>
      <c r="C371" s="102" t="s">
        <v>383</v>
      </c>
      <c r="D371" s="102" t="s">
        <v>384</v>
      </c>
      <c r="E371" s="102">
        <v>4334</v>
      </c>
      <c r="F371" s="102">
        <v>10</v>
      </c>
      <c r="G371" s="102">
        <v>91</v>
      </c>
      <c r="H371" s="56"/>
      <c r="I371" s="56" t="s">
        <v>131</v>
      </c>
      <c r="J371" s="57">
        <v>2</v>
      </c>
      <c r="K371" s="56" t="s">
        <v>407</v>
      </c>
      <c r="L371" s="62">
        <v>447.8</v>
      </c>
      <c r="M371" s="62">
        <v>957.79</v>
      </c>
      <c r="N371" s="60">
        <f t="shared" si="13"/>
        <v>89792.8125</v>
      </c>
      <c r="O371" s="20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s="13" customFormat="1" ht="17.25" customHeight="1">
      <c r="A372" s="228" t="s">
        <v>25</v>
      </c>
      <c r="B372" s="56" t="s">
        <v>71</v>
      </c>
      <c r="C372" s="102" t="s">
        <v>383</v>
      </c>
      <c r="D372" s="102" t="s">
        <v>384</v>
      </c>
      <c r="E372" s="102">
        <v>4334</v>
      </c>
      <c r="F372" s="102">
        <v>10</v>
      </c>
      <c r="G372" s="102">
        <v>94</v>
      </c>
      <c r="H372" s="56"/>
      <c r="I372" s="56" t="s">
        <v>131</v>
      </c>
      <c r="J372" s="57">
        <v>2</v>
      </c>
      <c r="K372" s="56" t="s">
        <v>408</v>
      </c>
      <c r="L372" s="62">
        <v>142.98</v>
      </c>
      <c r="M372" s="62">
        <v>305.81</v>
      </c>
      <c r="N372" s="60">
        <f t="shared" si="13"/>
        <v>28669.6875</v>
      </c>
      <c r="O372" s="20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s="13" customFormat="1" ht="17.25" customHeight="1">
      <c r="A373" s="228" t="s">
        <v>25</v>
      </c>
      <c r="B373" s="56" t="s">
        <v>71</v>
      </c>
      <c r="C373" s="102" t="s">
        <v>383</v>
      </c>
      <c r="D373" s="102" t="s">
        <v>384</v>
      </c>
      <c r="E373" s="102">
        <v>4334</v>
      </c>
      <c r="F373" s="102">
        <v>10</v>
      </c>
      <c r="G373" s="102">
        <v>95</v>
      </c>
      <c r="H373" s="56"/>
      <c r="I373" s="56" t="s">
        <v>131</v>
      </c>
      <c r="J373" s="57">
        <v>2</v>
      </c>
      <c r="K373" s="56" t="s">
        <v>409</v>
      </c>
      <c r="L373" s="62">
        <v>139.91</v>
      </c>
      <c r="M373" s="62">
        <v>299.25</v>
      </c>
      <c r="N373" s="60">
        <f t="shared" si="13"/>
        <v>28054.6875</v>
      </c>
      <c r="O373" s="20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s="13" customFormat="1" ht="17.25" customHeight="1">
      <c r="A374" s="228" t="s">
        <v>25</v>
      </c>
      <c r="B374" s="56" t="s">
        <v>71</v>
      </c>
      <c r="C374" s="102" t="s">
        <v>383</v>
      </c>
      <c r="D374" s="102" t="s">
        <v>384</v>
      </c>
      <c r="E374" s="102">
        <v>4334</v>
      </c>
      <c r="F374" s="102">
        <v>10</v>
      </c>
      <c r="G374" s="102">
        <v>96</v>
      </c>
      <c r="H374" s="56"/>
      <c r="I374" s="56" t="s">
        <v>46</v>
      </c>
      <c r="J374" s="57">
        <v>1</v>
      </c>
      <c r="K374" s="56" t="s">
        <v>410</v>
      </c>
      <c r="L374" s="62">
        <v>26.37</v>
      </c>
      <c r="M374" s="62">
        <v>45.56</v>
      </c>
      <c r="N374" s="60">
        <f t="shared" si="13"/>
        <v>4271.25</v>
      </c>
      <c r="O374" s="20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s="13" customFormat="1" ht="17.25" customHeight="1">
      <c r="A375" s="228" t="s">
        <v>25</v>
      </c>
      <c r="B375" s="56" t="s">
        <v>71</v>
      </c>
      <c r="C375" s="102" t="s">
        <v>383</v>
      </c>
      <c r="D375" s="102" t="s">
        <v>384</v>
      </c>
      <c r="E375" s="102">
        <v>4334</v>
      </c>
      <c r="F375" s="102">
        <v>10</v>
      </c>
      <c r="G375" s="102">
        <v>108</v>
      </c>
      <c r="H375" s="56"/>
      <c r="I375" s="56" t="s">
        <v>46</v>
      </c>
      <c r="J375" s="57">
        <v>2</v>
      </c>
      <c r="K375" s="56" t="s">
        <v>411</v>
      </c>
      <c r="L375" s="62">
        <v>197.54</v>
      </c>
      <c r="M375" s="62">
        <v>316.07</v>
      </c>
      <c r="N375" s="60">
        <f t="shared" si="13"/>
        <v>29631.5625</v>
      </c>
      <c r="O375" s="20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s="13" customFormat="1" ht="17.25" customHeight="1">
      <c r="A376" s="228" t="s">
        <v>25</v>
      </c>
      <c r="B376" s="56" t="s">
        <v>71</v>
      </c>
      <c r="C376" s="102" t="s">
        <v>383</v>
      </c>
      <c r="D376" s="102" t="s">
        <v>384</v>
      </c>
      <c r="E376" s="102">
        <v>4334</v>
      </c>
      <c r="F376" s="102">
        <v>10</v>
      </c>
      <c r="G376" s="102">
        <v>143</v>
      </c>
      <c r="H376" s="56"/>
      <c r="I376" s="56" t="s">
        <v>131</v>
      </c>
      <c r="J376" s="57">
        <v>2</v>
      </c>
      <c r="K376" s="56" t="s">
        <v>412</v>
      </c>
      <c r="L376" s="62">
        <v>1383.3</v>
      </c>
      <c r="M376" s="62">
        <v>2958.72</v>
      </c>
      <c r="N376" s="60">
        <f t="shared" si="13"/>
        <v>277379.99999999994</v>
      </c>
      <c r="O376" s="20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s="13" customFormat="1" ht="17.25" customHeight="1">
      <c r="A377" s="228" t="s">
        <v>25</v>
      </c>
      <c r="B377" s="56" t="s">
        <v>71</v>
      </c>
      <c r="C377" s="102" t="s">
        <v>383</v>
      </c>
      <c r="D377" s="102" t="s">
        <v>384</v>
      </c>
      <c r="E377" s="102">
        <v>4334</v>
      </c>
      <c r="F377" s="102">
        <v>10</v>
      </c>
      <c r="G377" s="102">
        <v>144</v>
      </c>
      <c r="H377" s="56"/>
      <c r="I377" s="56" t="s">
        <v>46</v>
      </c>
      <c r="J377" s="57">
        <v>1</v>
      </c>
      <c r="K377" s="56" t="s">
        <v>413</v>
      </c>
      <c r="L377" s="62">
        <v>106.77</v>
      </c>
      <c r="M377" s="62">
        <v>184.43</v>
      </c>
      <c r="N377" s="60">
        <f t="shared" si="13"/>
        <v>17290.3125</v>
      </c>
      <c r="O377" s="20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s="13" customFormat="1" ht="17.25" customHeight="1" thickBot="1">
      <c r="A378" s="228" t="s">
        <v>25</v>
      </c>
      <c r="B378" s="56" t="s">
        <v>71</v>
      </c>
      <c r="C378" s="102" t="s">
        <v>383</v>
      </c>
      <c r="D378" s="102" t="s">
        <v>384</v>
      </c>
      <c r="E378" s="102">
        <v>4334</v>
      </c>
      <c r="F378" s="102">
        <v>10</v>
      </c>
      <c r="G378" s="102">
        <v>145</v>
      </c>
      <c r="H378" s="56"/>
      <c r="I378" s="56" t="s">
        <v>46</v>
      </c>
      <c r="J378" s="57">
        <v>1</v>
      </c>
      <c r="K378" s="56" t="s">
        <v>414</v>
      </c>
      <c r="L378" s="62">
        <v>54.77</v>
      </c>
      <c r="M378" s="62">
        <v>94.59</v>
      </c>
      <c r="N378" s="60">
        <f t="shared" si="13"/>
        <v>8867.8125</v>
      </c>
      <c r="O378" s="20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s="19" customFormat="1" ht="17.25" customHeight="1" thickTop="1">
      <c r="A379" s="228" t="s">
        <v>25</v>
      </c>
      <c r="B379" s="56" t="s">
        <v>71</v>
      </c>
      <c r="C379" s="102" t="s">
        <v>383</v>
      </c>
      <c r="D379" s="102" t="s">
        <v>384</v>
      </c>
      <c r="E379" s="102">
        <v>4334</v>
      </c>
      <c r="F379" s="102">
        <v>10</v>
      </c>
      <c r="G379" s="102">
        <v>146</v>
      </c>
      <c r="H379" s="56"/>
      <c r="I379" s="56" t="s">
        <v>46</v>
      </c>
      <c r="J379" s="57">
        <v>1</v>
      </c>
      <c r="K379" s="56" t="s">
        <v>415</v>
      </c>
      <c r="L379" s="62">
        <v>43.01</v>
      </c>
      <c r="M379" s="62">
        <v>74.28</v>
      </c>
      <c r="N379" s="60">
        <f t="shared" si="13"/>
        <v>6963.75</v>
      </c>
      <c r="O379" s="20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s="12" customFormat="1" ht="17.25" customHeight="1">
      <c r="A380" s="228" t="s">
        <v>25</v>
      </c>
      <c r="B380" s="56" t="s">
        <v>71</v>
      </c>
      <c r="C380" s="102" t="s">
        <v>383</v>
      </c>
      <c r="D380" s="102" t="s">
        <v>384</v>
      </c>
      <c r="E380" s="102">
        <v>4334</v>
      </c>
      <c r="F380" s="102">
        <v>10</v>
      </c>
      <c r="G380" s="102">
        <v>147</v>
      </c>
      <c r="H380" s="56"/>
      <c r="I380" s="56" t="s">
        <v>131</v>
      </c>
      <c r="J380" s="57">
        <v>2</v>
      </c>
      <c r="K380" s="56" t="s">
        <v>416</v>
      </c>
      <c r="L380" s="62">
        <v>34.86</v>
      </c>
      <c r="M380" s="62">
        <v>74.56</v>
      </c>
      <c r="N380" s="60">
        <f t="shared" si="13"/>
        <v>6990</v>
      </c>
      <c r="O380" s="20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s="13" customFormat="1" ht="17.25" customHeight="1">
      <c r="A381" s="228" t="s">
        <v>25</v>
      </c>
      <c r="B381" s="56" t="s">
        <v>71</v>
      </c>
      <c r="C381" s="102" t="s">
        <v>383</v>
      </c>
      <c r="D381" s="102" t="s">
        <v>384</v>
      </c>
      <c r="E381" s="102">
        <v>4334</v>
      </c>
      <c r="F381" s="102">
        <v>10</v>
      </c>
      <c r="G381" s="102">
        <v>148</v>
      </c>
      <c r="H381" s="56"/>
      <c r="I381" s="56" t="s">
        <v>46</v>
      </c>
      <c r="J381" s="57">
        <v>1</v>
      </c>
      <c r="K381" s="56" t="s">
        <v>417</v>
      </c>
      <c r="L381" s="62">
        <v>58.15</v>
      </c>
      <c r="M381" s="62">
        <v>100.43</v>
      </c>
      <c r="N381" s="60">
        <f t="shared" si="13"/>
        <v>9415.312500000002</v>
      </c>
      <c r="O381" s="20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s="13" customFormat="1" ht="17.25" customHeight="1">
      <c r="A382" s="228" t="s">
        <v>25</v>
      </c>
      <c r="B382" s="56" t="s">
        <v>71</v>
      </c>
      <c r="C382" s="102" t="s">
        <v>383</v>
      </c>
      <c r="D382" s="102" t="s">
        <v>384</v>
      </c>
      <c r="E382" s="102">
        <v>4334</v>
      </c>
      <c r="F382" s="102">
        <v>10</v>
      </c>
      <c r="G382" s="102">
        <v>149</v>
      </c>
      <c r="H382" s="56"/>
      <c r="I382" s="56" t="s">
        <v>131</v>
      </c>
      <c r="J382" s="57">
        <v>2</v>
      </c>
      <c r="K382" s="56" t="s">
        <v>418</v>
      </c>
      <c r="L382" s="62">
        <v>33</v>
      </c>
      <c r="M382" s="62">
        <v>70.59</v>
      </c>
      <c r="N382" s="60">
        <f t="shared" si="13"/>
        <v>6617.8125</v>
      </c>
      <c r="O382" s="20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s="13" customFormat="1" ht="17.25" customHeight="1">
      <c r="A383" s="228" t="s">
        <v>25</v>
      </c>
      <c r="B383" s="56" t="s">
        <v>71</v>
      </c>
      <c r="C383" s="102" t="s">
        <v>383</v>
      </c>
      <c r="D383" s="102" t="s">
        <v>384</v>
      </c>
      <c r="E383" s="102">
        <v>4334</v>
      </c>
      <c r="F383" s="102">
        <v>10</v>
      </c>
      <c r="G383" s="102">
        <v>150</v>
      </c>
      <c r="H383" s="56"/>
      <c r="I383" s="56" t="s">
        <v>46</v>
      </c>
      <c r="J383" s="57">
        <v>2</v>
      </c>
      <c r="K383" s="56" t="s">
        <v>419</v>
      </c>
      <c r="L383" s="62">
        <v>9.89</v>
      </c>
      <c r="M383" s="62">
        <v>15.82</v>
      </c>
      <c r="N383" s="60">
        <f t="shared" si="13"/>
        <v>1483.125</v>
      </c>
      <c r="O383" s="20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s="13" customFormat="1" ht="17.25" customHeight="1">
      <c r="A384" s="228" t="s">
        <v>25</v>
      </c>
      <c r="B384" s="56" t="s">
        <v>71</v>
      </c>
      <c r="C384" s="102" t="s">
        <v>383</v>
      </c>
      <c r="D384" s="102" t="s">
        <v>384</v>
      </c>
      <c r="E384" s="102">
        <v>4334</v>
      </c>
      <c r="F384" s="102">
        <v>10</v>
      </c>
      <c r="G384" s="102">
        <v>151</v>
      </c>
      <c r="H384" s="56"/>
      <c r="I384" s="56" t="s">
        <v>46</v>
      </c>
      <c r="J384" s="57">
        <v>2</v>
      </c>
      <c r="K384" s="56" t="s">
        <v>420</v>
      </c>
      <c r="L384" s="62">
        <v>13.94</v>
      </c>
      <c r="M384" s="62">
        <v>22.31</v>
      </c>
      <c r="N384" s="60">
        <f t="shared" si="13"/>
        <v>2091.5625</v>
      </c>
      <c r="O384" s="20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s="13" customFormat="1" ht="17.25" customHeight="1">
      <c r="A385" s="228" t="s">
        <v>25</v>
      </c>
      <c r="B385" s="56" t="s">
        <v>71</v>
      </c>
      <c r="C385" s="102" t="s">
        <v>383</v>
      </c>
      <c r="D385" s="102" t="s">
        <v>384</v>
      </c>
      <c r="E385" s="102">
        <v>4334</v>
      </c>
      <c r="F385" s="102">
        <v>10</v>
      </c>
      <c r="G385" s="102">
        <v>152</v>
      </c>
      <c r="H385" s="56"/>
      <c r="I385" s="56" t="s">
        <v>131</v>
      </c>
      <c r="J385" s="57">
        <v>1</v>
      </c>
      <c r="K385" s="56" t="s">
        <v>421</v>
      </c>
      <c r="L385" s="62">
        <v>128.39</v>
      </c>
      <c r="M385" s="62">
        <v>300.55</v>
      </c>
      <c r="N385" s="60">
        <f t="shared" si="13"/>
        <v>28176.5625</v>
      </c>
      <c r="O385" s="20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s="13" customFormat="1" ht="17.25" customHeight="1">
      <c r="A386" s="228" t="s">
        <v>25</v>
      </c>
      <c r="B386" s="56" t="s">
        <v>71</v>
      </c>
      <c r="C386" s="102" t="s">
        <v>383</v>
      </c>
      <c r="D386" s="102" t="s">
        <v>384</v>
      </c>
      <c r="E386" s="102">
        <v>4334</v>
      </c>
      <c r="F386" s="102">
        <v>10</v>
      </c>
      <c r="G386" s="102">
        <v>153</v>
      </c>
      <c r="H386" s="56"/>
      <c r="I386" s="56" t="s">
        <v>46</v>
      </c>
      <c r="J386" s="57">
        <v>1</v>
      </c>
      <c r="K386" s="56" t="s">
        <v>422</v>
      </c>
      <c r="L386" s="62">
        <v>51.98</v>
      </c>
      <c r="M386" s="62">
        <v>89.79</v>
      </c>
      <c r="N386" s="60">
        <f t="shared" si="13"/>
        <v>8417.812500000002</v>
      </c>
      <c r="O386" s="20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s="13" customFormat="1" ht="17.25" customHeight="1">
      <c r="A387" s="228" t="s">
        <v>25</v>
      </c>
      <c r="B387" s="56" t="s">
        <v>71</v>
      </c>
      <c r="C387" s="102" t="s">
        <v>383</v>
      </c>
      <c r="D387" s="102" t="s">
        <v>384</v>
      </c>
      <c r="E387" s="102">
        <v>4334</v>
      </c>
      <c r="F387" s="102">
        <v>10</v>
      </c>
      <c r="G387" s="102">
        <v>154</v>
      </c>
      <c r="H387" s="56"/>
      <c r="I387" s="56" t="s">
        <v>46</v>
      </c>
      <c r="J387" s="57">
        <v>1</v>
      </c>
      <c r="K387" s="56" t="s">
        <v>423</v>
      </c>
      <c r="L387" s="62">
        <v>345.66</v>
      </c>
      <c r="M387" s="62">
        <v>597.05</v>
      </c>
      <c r="N387" s="60">
        <f t="shared" si="13"/>
        <v>55973.4375</v>
      </c>
      <c r="O387" s="20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s="13" customFormat="1" ht="17.25" customHeight="1">
      <c r="A388" s="226" t="s">
        <v>25</v>
      </c>
      <c r="B388" s="80" t="s">
        <v>71</v>
      </c>
      <c r="C388" s="105" t="s">
        <v>383</v>
      </c>
      <c r="D388" s="105" t="s">
        <v>384</v>
      </c>
      <c r="E388" s="105">
        <v>4334</v>
      </c>
      <c r="F388" s="105">
        <v>10</v>
      </c>
      <c r="G388" s="105">
        <v>155</v>
      </c>
      <c r="H388" s="80"/>
      <c r="I388" s="80" t="s">
        <v>131</v>
      </c>
      <c r="J388" s="81">
        <v>4</v>
      </c>
      <c r="K388" s="80" t="s">
        <v>424</v>
      </c>
      <c r="L388" s="83">
        <v>396.82</v>
      </c>
      <c r="M388" s="83">
        <v>545.63</v>
      </c>
      <c r="N388" s="84">
        <f t="shared" si="13"/>
        <v>51152.8125</v>
      </c>
      <c r="O388" s="186">
        <f>3000000000/1936.27*1.0797</f>
        <v>1672855.5418407558</v>
      </c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15" ht="17.25" customHeight="1">
      <c r="A389" s="212" t="s">
        <v>581</v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43"/>
      <c r="M389" s="43"/>
      <c r="N389" s="43"/>
      <c r="O389" s="43"/>
    </row>
    <row r="390" spans="1:36" ht="17.25" customHeight="1">
      <c r="A390" s="160" t="s">
        <v>1</v>
      </c>
      <c r="B390" s="161" t="s">
        <v>479</v>
      </c>
      <c r="C390" s="161" t="s">
        <v>478</v>
      </c>
      <c r="D390" s="161" t="s">
        <v>477</v>
      </c>
      <c r="E390" s="161" t="s">
        <v>2</v>
      </c>
      <c r="F390" s="161" t="s">
        <v>3</v>
      </c>
      <c r="G390" s="162" t="s">
        <v>480</v>
      </c>
      <c r="H390" s="161" t="s">
        <v>4</v>
      </c>
      <c r="I390" s="160" t="s">
        <v>5</v>
      </c>
      <c r="J390" s="160" t="s">
        <v>6</v>
      </c>
      <c r="K390" s="160" t="s">
        <v>7</v>
      </c>
      <c r="L390" s="220" t="s">
        <v>455</v>
      </c>
      <c r="M390" s="163" t="s">
        <v>468</v>
      </c>
      <c r="N390" s="164" t="s">
        <v>508</v>
      </c>
      <c r="O390" s="164" t="s">
        <v>507</v>
      </c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1.25" customHeight="1">
      <c r="A391" s="166"/>
      <c r="B391" s="167"/>
      <c r="C391" s="167"/>
      <c r="D391" s="167"/>
      <c r="E391" s="166"/>
      <c r="F391" s="167"/>
      <c r="G391" s="168"/>
      <c r="H391" s="167"/>
      <c r="I391" s="166"/>
      <c r="J391" s="166"/>
      <c r="K391" s="166"/>
      <c r="L391" s="169" t="s">
        <v>509</v>
      </c>
      <c r="M391" s="169" t="s">
        <v>509</v>
      </c>
      <c r="N391" s="170" t="s">
        <v>509</v>
      </c>
      <c r="O391" s="221" t="s">
        <v>513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s="13" customFormat="1" ht="18" customHeight="1">
      <c r="A392" s="227" t="s">
        <v>25</v>
      </c>
      <c r="B392" s="71" t="s">
        <v>71</v>
      </c>
      <c r="C392" s="100" t="s">
        <v>425</v>
      </c>
      <c r="D392" s="100" t="s">
        <v>426</v>
      </c>
      <c r="E392" s="100">
        <v>4334</v>
      </c>
      <c r="F392" s="100">
        <v>15</v>
      </c>
      <c r="G392" s="100">
        <v>4</v>
      </c>
      <c r="H392" s="71"/>
      <c r="I392" s="71" t="s">
        <v>57</v>
      </c>
      <c r="J392" s="72">
        <v>4</v>
      </c>
      <c r="K392" s="71" t="s">
        <v>427</v>
      </c>
      <c r="L392" s="88">
        <v>37.1</v>
      </c>
      <c r="M392" s="88">
        <v>53.59</v>
      </c>
      <c r="N392" s="75">
        <f t="shared" si="13"/>
        <v>5024.062500000001</v>
      </c>
      <c r="O392" s="117">
        <f>32000000/1936.27*1.0797</f>
        <v>17843.792446301395</v>
      </c>
      <c r="P392" s="1" t="s">
        <v>428</v>
      </c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s="18" customFormat="1" ht="18" customHeight="1">
      <c r="A393" s="225" t="s">
        <v>25</v>
      </c>
      <c r="B393" s="154" t="s">
        <v>510</v>
      </c>
      <c r="C393" s="154" t="s">
        <v>429</v>
      </c>
      <c r="D393" s="154" t="s">
        <v>430</v>
      </c>
      <c r="E393" s="154">
        <v>4334</v>
      </c>
      <c r="F393" s="154">
        <v>45</v>
      </c>
      <c r="G393" s="154">
        <v>266</v>
      </c>
      <c r="H393" s="154"/>
      <c r="I393" s="154" t="s">
        <v>57</v>
      </c>
      <c r="J393" s="155">
        <v>3</v>
      </c>
      <c r="K393" s="154" t="s">
        <v>431</v>
      </c>
      <c r="L393" s="150">
        <f>95964/1936.27</f>
        <v>49.56126986422348</v>
      </c>
      <c r="M393" s="150">
        <f>139584/1936.27</f>
        <v>72.08911980250689</v>
      </c>
      <c r="N393" s="112">
        <f t="shared" si="13"/>
        <v>6758.354981485021</v>
      </c>
      <c r="O393" s="199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</row>
    <row r="394" spans="1:36" s="13" customFormat="1" ht="18" customHeight="1">
      <c r="A394" s="226" t="s">
        <v>25</v>
      </c>
      <c r="B394" s="80" t="s">
        <v>510</v>
      </c>
      <c r="C394" s="80" t="s">
        <v>429</v>
      </c>
      <c r="D394" s="80" t="s">
        <v>430</v>
      </c>
      <c r="E394" s="80">
        <v>4334</v>
      </c>
      <c r="F394" s="80">
        <v>45</v>
      </c>
      <c r="G394" s="80">
        <v>522</v>
      </c>
      <c r="H394" s="80"/>
      <c r="I394" s="80" t="s">
        <v>57</v>
      </c>
      <c r="J394" s="81">
        <v>3</v>
      </c>
      <c r="K394" s="80" t="s">
        <v>432</v>
      </c>
      <c r="L394" s="83">
        <v>0.07</v>
      </c>
      <c r="M394" s="83">
        <v>0.1</v>
      </c>
      <c r="N394" s="84">
        <f>PRODUCT(M394*75)+(M394*75*25%)</f>
        <v>9.375</v>
      </c>
      <c r="O394" s="186">
        <f>52000000/1936.27*1.0797</f>
        <v>28996.16272523977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15" ht="12.75">
      <c r="A395" s="212" t="s">
        <v>582</v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43"/>
      <c r="M395" s="43"/>
      <c r="N395" s="43"/>
      <c r="O395" s="43"/>
    </row>
    <row r="396" spans="1:36" ht="12.75">
      <c r="A396" s="160" t="s">
        <v>1</v>
      </c>
      <c r="B396" s="161" t="s">
        <v>479</v>
      </c>
      <c r="C396" s="161" t="s">
        <v>478</v>
      </c>
      <c r="D396" s="161" t="s">
        <v>477</v>
      </c>
      <c r="E396" s="161" t="s">
        <v>2</v>
      </c>
      <c r="F396" s="161" t="s">
        <v>3</v>
      </c>
      <c r="G396" s="162" t="s">
        <v>480</v>
      </c>
      <c r="H396" s="161" t="s">
        <v>4</v>
      </c>
      <c r="I396" s="160" t="s">
        <v>5</v>
      </c>
      <c r="J396" s="160" t="s">
        <v>6</v>
      </c>
      <c r="K396" s="160" t="s">
        <v>7</v>
      </c>
      <c r="L396" s="220" t="s">
        <v>455</v>
      </c>
      <c r="M396" s="163" t="s">
        <v>468</v>
      </c>
      <c r="N396" s="164" t="s">
        <v>508</v>
      </c>
      <c r="O396" s="164" t="s">
        <v>507</v>
      </c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2.75">
      <c r="A397" s="166"/>
      <c r="B397" s="167"/>
      <c r="C397" s="167"/>
      <c r="D397" s="167"/>
      <c r="E397" s="166"/>
      <c r="F397" s="167"/>
      <c r="G397" s="168"/>
      <c r="H397" s="167"/>
      <c r="I397" s="166"/>
      <c r="J397" s="166"/>
      <c r="K397" s="166"/>
      <c r="L397" s="169" t="s">
        <v>509</v>
      </c>
      <c r="M397" s="169" t="s">
        <v>509</v>
      </c>
      <c r="N397" s="170" t="s">
        <v>509</v>
      </c>
      <c r="O397" s="221" t="s">
        <v>513</v>
      </c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s="13" customFormat="1" ht="18" customHeight="1">
      <c r="A398" s="227" t="s">
        <v>8</v>
      </c>
      <c r="B398" s="71" t="s">
        <v>510</v>
      </c>
      <c r="C398" s="71" t="s">
        <v>433</v>
      </c>
      <c r="D398" s="71" t="s">
        <v>434</v>
      </c>
      <c r="E398" s="71">
        <v>4245</v>
      </c>
      <c r="F398" s="71">
        <v>97</v>
      </c>
      <c r="G398" s="71">
        <v>2228</v>
      </c>
      <c r="H398" s="71"/>
      <c r="I398" s="72" t="s">
        <v>79</v>
      </c>
      <c r="J398" s="72" t="s">
        <v>23</v>
      </c>
      <c r="K398" s="71">
        <v>904</v>
      </c>
      <c r="L398" s="74"/>
      <c r="M398" s="74">
        <f>1356000/1936.27</f>
        <v>700.3155551653437</v>
      </c>
      <c r="N398" s="75">
        <f>142380000/1936.27</f>
        <v>73533.13329236109</v>
      </c>
      <c r="O398" s="133">
        <f>PRODUCT(N398*4)</f>
        <v>294132.53316944436</v>
      </c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15" ht="12.75">
      <c r="A399" s="212" t="s">
        <v>583</v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43"/>
      <c r="M399" s="43"/>
      <c r="N399" s="43"/>
      <c r="O399" s="43"/>
    </row>
    <row r="400" spans="1:36" ht="12.75">
      <c r="A400" s="160" t="s">
        <v>1</v>
      </c>
      <c r="B400" s="161" t="s">
        <v>479</v>
      </c>
      <c r="C400" s="161" t="s">
        <v>478</v>
      </c>
      <c r="D400" s="161" t="s">
        <v>477</v>
      </c>
      <c r="E400" s="161" t="s">
        <v>2</v>
      </c>
      <c r="F400" s="161" t="s">
        <v>3</v>
      </c>
      <c r="G400" s="162" t="s">
        <v>480</v>
      </c>
      <c r="H400" s="161" t="s">
        <v>4</v>
      </c>
      <c r="I400" s="160" t="s">
        <v>5</v>
      </c>
      <c r="J400" s="160" t="s">
        <v>6</v>
      </c>
      <c r="K400" s="160" t="s">
        <v>7</v>
      </c>
      <c r="L400" s="220" t="s">
        <v>455</v>
      </c>
      <c r="M400" s="163" t="s">
        <v>468</v>
      </c>
      <c r="N400" s="164" t="s">
        <v>508</v>
      </c>
      <c r="O400" s="164" t="s">
        <v>507</v>
      </c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2.75">
      <c r="A401" s="166"/>
      <c r="B401" s="167"/>
      <c r="C401" s="167"/>
      <c r="D401" s="167"/>
      <c r="E401" s="166"/>
      <c r="F401" s="167"/>
      <c r="G401" s="168"/>
      <c r="H401" s="167"/>
      <c r="I401" s="166"/>
      <c r="J401" s="166"/>
      <c r="K401" s="166"/>
      <c r="L401" s="169" t="s">
        <v>509</v>
      </c>
      <c r="M401" s="169" t="s">
        <v>509</v>
      </c>
      <c r="N401" s="170" t="s">
        <v>509</v>
      </c>
      <c r="O401" s="221" t="s">
        <v>513</v>
      </c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s="13" customFormat="1" ht="18" customHeight="1">
      <c r="A402" s="225" t="s">
        <v>25</v>
      </c>
      <c r="B402" s="107" t="s">
        <v>71</v>
      </c>
      <c r="C402" s="107" t="s">
        <v>435</v>
      </c>
      <c r="D402" s="107" t="s">
        <v>436</v>
      </c>
      <c r="E402" s="107">
        <v>158769</v>
      </c>
      <c r="F402" s="107">
        <v>15</v>
      </c>
      <c r="G402" s="107">
        <v>47</v>
      </c>
      <c r="H402" s="107"/>
      <c r="I402" s="107" t="s">
        <v>57</v>
      </c>
      <c r="J402" s="109">
        <v>1</v>
      </c>
      <c r="K402" s="107" t="s">
        <v>437</v>
      </c>
      <c r="L402" s="150">
        <v>19.87</v>
      </c>
      <c r="M402" s="150">
        <v>36.68</v>
      </c>
      <c r="N402" s="112">
        <f>PRODUCT(M402*75)+(M402*75*25%)</f>
        <v>3438.75</v>
      </c>
      <c r="O402" s="202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s="13" customFormat="1" ht="18" customHeight="1">
      <c r="A403" s="226" t="s">
        <v>25</v>
      </c>
      <c r="B403" s="80" t="s">
        <v>71</v>
      </c>
      <c r="C403" s="80" t="s">
        <v>435</v>
      </c>
      <c r="D403" s="80" t="s">
        <v>438</v>
      </c>
      <c r="E403" s="80">
        <v>158769</v>
      </c>
      <c r="F403" s="80">
        <v>15</v>
      </c>
      <c r="G403" s="80">
        <v>48</v>
      </c>
      <c r="H403" s="80"/>
      <c r="I403" s="80" t="s">
        <v>57</v>
      </c>
      <c r="J403" s="81">
        <v>1</v>
      </c>
      <c r="K403" s="80" t="s">
        <v>439</v>
      </c>
      <c r="L403" s="83">
        <v>17.29</v>
      </c>
      <c r="M403" s="83">
        <v>31.92</v>
      </c>
      <c r="N403" s="84">
        <f>PRODUCT(M403*75)+(M403*75*25%)</f>
        <v>2992.5</v>
      </c>
      <c r="O403" s="186">
        <f>25000000/1936.27*1.0797</f>
        <v>13940.462848672965</v>
      </c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15" ht="12.75">
      <c r="A404" s="212" t="s">
        <v>584</v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43"/>
      <c r="M404" s="43"/>
      <c r="N404" s="43"/>
      <c r="O404" s="43"/>
    </row>
    <row r="405" spans="1:36" ht="12.75">
      <c r="A405" s="160" t="s">
        <v>1</v>
      </c>
      <c r="B405" s="161" t="s">
        <v>479</v>
      </c>
      <c r="C405" s="161" t="s">
        <v>478</v>
      </c>
      <c r="D405" s="161" t="s">
        <v>477</v>
      </c>
      <c r="E405" s="161" t="s">
        <v>2</v>
      </c>
      <c r="F405" s="161" t="s">
        <v>3</v>
      </c>
      <c r="G405" s="162" t="s">
        <v>480</v>
      </c>
      <c r="H405" s="161" t="s">
        <v>4</v>
      </c>
      <c r="I405" s="160" t="s">
        <v>5</v>
      </c>
      <c r="J405" s="160" t="s">
        <v>6</v>
      </c>
      <c r="K405" s="160" t="s">
        <v>7</v>
      </c>
      <c r="L405" s="220" t="s">
        <v>455</v>
      </c>
      <c r="M405" s="163" t="s">
        <v>468</v>
      </c>
      <c r="N405" s="164" t="s">
        <v>508</v>
      </c>
      <c r="O405" s="164" t="s">
        <v>507</v>
      </c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2.75">
      <c r="A406" s="166"/>
      <c r="B406" s="167"/>
      <c r="C406" s="167"/>
      <c r="D406" s="167"/>
      <c r="E406" s="166"/>
      <c r="F406" s="167"/>
      <c r="G406" s="168"/>
      <c r="H406" s="167"/>
      <c r="I406" s="166"/>
      <c r="J406" s="166"/>
      <c r="K406" s="166"/>
      <c r="L406" s="169" t="s">
        <v>509</v>
      </c>
      <c r="M406" s="169" t="s">
        <v>509</v>
      </c>
      <c r="N406" s="170" t="s">
        <v>509</v>
      </c>
      <c r="O406" s="221" t="s">
        <v>513</v>
      </c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s="13" customFormat="1" ht="18" customHeight="1">
      <c r="A407" s="225" t="s">
        <v>25</v>
      </c>
      <c r="B407" s="107" t="s">
        <v>71</v>
      </c>
      <c r="C407" s="107" t="s">
        <v>440</v>
      </c>
      <c r="D407" s="107" t="s">
        <v>441</v>
      </c>
      <c r="E407" s="107">
        <v>10343</v>
      </c>
      <c r="F407" s="107">
        <v>16</v>
      </c>
      <c r="G407" s="107">
        <v>80</v>
      </c>
      <c r="H407" s="107"/>
      <c r="I407" s="107" t="s">
        <v>131</v>
      </c>
      <c r="J407" s="109">
        <v>1</v>
      </c>
      <c r="K407" s="107" t="s">
        <v>442</v>
      </c>
      <c r="L407" s="150">
        <f>1279280/1936.27</f>
        <v>660.6929818671982</v>
      </c>
      <c r="M407" s="150">
        <f>2686488/1936.27</f>
        <v>1387.4552619211163</v>
      </c>
      <c r="N407" s="112">
        <f aca="true" t="shared" si="14" ref="N407:N412">PRODUCT(M407*75)+(M407*75*25%)</f>
        <v>130073.93080510464</v>
      </c>
      <c r="O407" s="20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s="13" customFormat="1" ht="18" customHeight="1">
      <c r="A408" s="228" t="s">
        <v>25</v>
      </c>
      <c r="B408" s="56" t="s">
        <v>71</v>
      </c>
      <c r="C408" s="56" t="s">
        <v>440</v>
      </c>
      <c r="D408" s="56" t="s">
        <v>441</v>
      </c>
      <c r="E408" s="56">
        <v>10343</v>
      </c>
      <c r="F408" s="56">
        <v>16</v>
      </c>
      <c r="G408" s="56">
        <v>145</v>
      </c>
      <c r="H408" s="56"/>
      <c r="I408" s="56" t="s">
        <v>131</v>
      </c>
      <c r="J408" s="57">
        <v>1</v>
      </c>
      <c r="K408" s="56" t="s">
        <v>443</v>
      </c>
      <c r="L408" s="62">
        <f>119700/1936.27</f>
        <v>61.81989082101153</v>
      </c>
      <c r="M408" s="62">
        <f>251370/1936.27</f>
        <v>129.8217707241242</v>
      </c>
      <c r="N408" s="60">
        <f t="shared" si="14"/>
        <v>12170.791005386645</v>
      </c>
      <c r="O408" s="20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s="13" customFormat="1" ht="18" customHeight="1">
      <c r="A409" s="228" t="s">
        <v>25</v>
      </c>
      <c r="B409" s="56" t="s">
        <v>71</v>
      </c>
      <c r="C409" s="56" t="s">
        <v>440</v>
      </c>
      <c r="D409" s="56" t="s">
        <v>441</v>
      </c>
      <c r="E409" s="56">
        <v>10343</v>
      </c>
      <c r="F409" s="56">
        <v>16</v>
      </c>
      <c r="G409" s="56">
        <v>162</v>
      </c>
      <c r="H409" s="56"/>
      <c r="I409" s="56" t="s">
        <v>131</v>
      </c>
      <c r="J409" s="57">
        <v>1</v>
      </c>
      <c r="K409" s="56" t="s">
        <v>444</v>
      </c>
      <c r="L409" s="62">
        <f>154000/1936.27</f>
        <v>79.53436245978092</v>
      </c>
      <c r="M409" s="62">
        <f>323400/1936.27</f>
        <v>167.02216116553993</v>
      </c>
      <c r="N409" s="60">
        <f t="shared" si="14"/>
        <v>15658.327609269367</v>
      </c>
      <c r="O409" s="20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s="13" customFormat="1" ht="18" customHeight="1">
      <c r="A410" s="228" t="s">
        <v>25</v>
      </c>
      <c r="B410" s="56" t="s">
        <v>71</v>
      </c>
      <c r="C410" s="56" t="s">
        <v>440</v>
      </c>
      <c r="D410" s="56" t="s">
        <v>441</v>
      </c>
      <c r="E410" s="56">
        <v>10343</v>
      </c>
      <c r="F410" s="56">
        <v>16</v>
      </c>
      <c r="G410" s="56">
        <v>187</v>
      </c>
      <c r="H410" s="56"/>
      <c r="I410" s="56" t="s">
        <v>57</v>
      </c>
      <c r="J410" s="57">
        <v>2</v>
      </c>
      <c r="K410" s="56" t="s">
        <v>445</v>
      </c>
      <c r="L410" s="62">
        <f>13360/1936.27</f>
        <v>6.89986417183554</v>
      </c>
      <c r="M410" s="62">
        <f>18370/1936.27</f>
        <v>9.487313236273867</v>
      </c>
      <c r="N410" s="60">
        <f t="shared" si="14"/>
        <v>889.435615900675</v>
      </c>
      <c r="O410" s="20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s="13" customFormat="1" ht="18" customHeight="1">
      <c r="A411" s="228" t="s">
        <v>25</v>
      </c>
      <c r="B411" s="56" t="s">
        <v>71</v>
      </c>
      <c r="C411" s="56" t="s">
        <v>440</v>
      </c>
      <c r="D411" s="56" t="s">
        <v>441</v>
      </c>
      <c r="E411" s="56">
        <v>10343</v>
      </c>
      <c r="F411" s="56">
        <v>16</v>
      </c>
      <c r="G411" s="56">
        <v>190</v>
      </c>
      <c r="H411" s="56"/>
      <c r="I411" s="56" t="s">
        <v>131</v>
      </c>
      <c r="J411" s="57">
        <v>1</v>
      </c>
      <c r="K411" s="56" t="s">
        <v>446</v>
      </c>
      <c r="L411" s="62">
        <f>61080/1936.27</f>
        <v>31.545187396385835</v>
      </c>
      <c r="M411" s="62">
        <f>114525/1936.27</f>
        <v>59.14722636822344</v>
      </c>
      <c r="N411" s="60">
        <f t="shared" si="14"/>
        <v>5545.052472020948</v>
      </c>
      <c r="O411" s="20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s="13" customFormat="1" ht="18" customHeight="1">
      <c r="A412" s="226" t="s">
        <v>25</v>
      </c>
      <c r="B412" s="80" t="s">
        <v>71</v>
      </c>
      <c r="C412" s="80" t="s">
        <v>440</v>
      </c>
      <c r="D412" s="80" t="s">
        <v>441</v>
      </c>
      <c r="E412" s="80">
        <v>10343</v>
      </c>
      <c r="F412" s="80">
        <v>16</v>
      </c>
      <c r="G412" s="80">
        <v>191</v>
      </c>
      <c r="H412" s="80"/>
      <c r="I412" s="80" t="s">
        <v>131</v>
      </c>
      <c r="J412" s="81">
        <v>1</v>
      </c>
      <c r="K412" s="80" t="s">
        <v>447</v>
      </c>
      <c r="L412" s="83">
        <f>180/1936.27</f>
        <v>0.09296224183610757</v>
      </c>
      <c r="M412" s="83">
        <f>378/1936.27</f>
        <v>0.1952207078558259</v>
      </c>
      <c r="N412" s="84">
        <f t="shared" si="14"/>
        <v>18.301941361483678</v>
      </c>
      <c r="O412" s="186">
        <f>180000000/1936.27*1.0797</f>
        <v>100371.33251044535</v>
      </c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15" ht="12.75">
      <c r="A413" s="212" t="s">
        <v>585</v>
      </c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43"/>
      <c r="M413" s="43"/>
      <c r="N413" s="43"/>
      <c r="O413" s="43"/>
    </row>
    <row r="414" spans="1:36" ht="12.75">
      <c r="A414" s="160" t="s">
        <v>1</v>
      </c>
      <c r="B414" s="161" t="s">
        <v>479</v>
      </c>
      <c r="C414" s="161" t="s">
        <v>478</v>
      </c>
      <c r="D414" s="161" t="s">
        <v>477</v>
      </c>
      <c r="E414" s="161" t="s">
        <v>2</v>
      </c>
      <c r="F414" s="161" t="s">
        <v>3</v>
      </c>
      <c r="G414" s="162" t="s">
        <v>480</v>
      </c>
      <c r="H414" s="161" t="s">
        <v>4</v>
      </c>
      <c r="I414" s="160" t="s">
        <v>5</v>
      </c>
      <c r="J414" s="160" t="s">
        <v>6</v>
      </c>
      <c r="K414" s="160" t="s">
        <v>7</v>
      </c>
      <c r="L414" s="220" t="s">
        <v>455</v>
      </c>
      <c r="M414" s="163" t="s">
        <v>468</v>
      </c>
      <c r="N414" s="164" t="s">
        <v>508</v>
      </c>
      <c r="O414" s="164" t="s">
        <v>507</v>
      </c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2.75">
      <c r="A415" s="166"/>
      <c r="B415" s="167"/>
      <c r="C415" s="167"/>
      <c r="D415" s="167"/>
      <c r="E415" s="166"/>
      <c r="F415" s="167"/>
      <c r="G415" s="168"/>
      <c r="H415" s="167"/>
      <c r="I415" s="166"/>
      <c r="J415" s="166"/>
      <c r="K415" s="166"/>
      <c r="L415" s="169" t="s">
        <v>509</v>
      </c>
      <c r="M415" s="169" t="s">
        <v>509</v>
      </c>
      <c r="N415" s="170" t="s">
        <v>509</v>
      </c>
      <c r="O415" s="221" t="s">
        <v>513</v>
      </c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s="13" customFormat="1" ht="18" customHeight="1">
      <c r="A416" s="225" t="s">
        <v>8</v>
      </c>
      <c r="B416" s="107" t="s">
        <v>510</v>
      </c>
      <c r="C416" s="107" t="s">
        <v>588</v>
      </c>
      <c r="D416" s="107" t="s">
        <v>589</v>
      </c>
      <c r="E416" s="107"/>
      <c r="F416" s="107">
        <v>10</v>
      </c>
      <c r="G416" s="107">
        <v>1101</v>
      </c>
      <c r="H416" s="107"/>
      <c r="I416" s="109" t="s">
        <v>22</v>
      </c>
      <c r="J416" s="109" t="s">
        <v>23</v>
      </c>
      <c r="K416" s="107">
        <v>1759</v>
      </c>
      <c r="L416" s="142"/>
      <c r="M416" s="142">
        <v>1362.68</v>
      </c>
      <c r="N416" s="112">
        <f>PRODUCT(M416*100)+(M416*100*5%)</f>
        <v>143081.4</v>
      </c>
      <c r="O416" s="202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s="13" customFormat="1" ht="18" customHeight="1">
      <c r="A417" s="228" t="s">
        <v>25</v>
      </c>
      <c r="B417" s="56" t="s">
        <v>510</v>
      </c>
      <c r="C417" s="56" t="s">
        <v>588</v>
      </c>
      <c r="D417" s="56" t="s">
        <v>590</v>
      </c>
      <c r="E417" s="56"/>
      <c r="F417" s="56">
        <v>10</v>
      </c>
      <c r="G417" s="56">
        <v>1096</v>
      </c>
      <c r="H417" s="56"/>
      <c r="I417" s="56" t="s">
        <v>57</v>
      </c>
      <c r="J417" s="57">
        <v>3</v>
      </c>
      <c r="K417" s="56" t="s">
        <v>592</v>
      </c>
      <c r="L417" s="62">
        <v>0.33</v>
      </c>
      <c r="M417" s="62">
        <v>0.36</v>
      </c>
      <c r="N417" s="60">
        <f>PRODUCT(M417*75)+(M417*75*25%)</f>
        <v>33.75</v>
      </c>
      <c r="O417" s="204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s="16" customFormat="1" ht="18" customHeight="1">
      <c r="A418" s="226" t="s">
        <v>25</v>
      </c>
      <c r="B418" s="80" t="s">
        <v>510</v>
      </c>
      <c r="C418" s="80" t="s">
        <v>588</v>
      </c>
      <c r="D418" s="80" t="s">
        <v>591</v>
      </c>
      <c r="E418" s="80"/>
      <c r="F418" s="80">
        <v>10</v>
      </c>
      <c r="G418" s="80">
        <v>1098</v>
      </c>
      <c r="H418" s="80"/>
      <c r="I418" s="210" t="s">
        <v>46</v>
      </c>
      <c r="J418" s="211">
        <v>2</v>
      </c>
      <c r="K418" s="210" t="s">
        <v>593</v>
      </c>
      <c r="L418" s="83">
        <v>0.52</v>
      </c>
      <c r="M418" s="83">
        <v>0.74</v>
      </c>
      <c r="N418" s="84">
        <f>PRODUCT(M418*75)+(M418*75*25%)</f>
        <v>69.375</v>
      </c>
      <c r="O418" s="189">
        <f>SUM(N416:N418)*4</f>
        <v>572738.1</v>
      </c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s="16" customFormat="1" ht="18" customHeight="1">
      <c r="A419" s="17"/>
      <c r="B419" s="1"/>
      <c r="C419" s="1"/>
      <c r="D419" s="1"/>
      <c r="E419" s="1"/>
      <c r="F419" s="1"/>
      <c r="G419" s="1"/>
      <c r="H419" s="1"/>
      <c r="I419" s="215" t="s">
        <v>595</v>
      </c>
      <c r="J419" s="216"/>
      <c r="K419" s="217"/>
      <c r="L419" s="213">
        <f>SUM(L4:L418)</f>
        <v>18522.035413604506</v>
      </c>
      <c r="M419" s="214">
        <f>SUM(M4:M418)</f>
        <v>552357.3350965516</v>
      </c>
      <c r="N419" s="214">
        <f>SUM(N4:N418)</f>
        <v>56379226.80528857</v>
      </c>
      <c r="O419" s="214">
        <f>SUM(O4:O418)</f>
        <v>236727773.89215013</v>
      </c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</sheetData>
  <sheetProtection/>
  <printOptions/>
  <pageMargins left="0.1968503937007874" right="0.1968503937007874" top="0.7874015748031497" bottom="0.5905511811023623" header="0.11811023622047245" footer="0.31496062992125984"/>
  <pageSetup horizontalDpi="360" verticalDpi="360" orientation="landscape" paperSize="8" r:id="rId1"/>
  <headerFooter alignWithMargins="0">
    <oddHeader>&amp;CAZIENDA UNITA' SANITARIA LOCALE BR/1
ELENCO GENERALE IMMOBILI - ANNO 2002</oddHeader>
    <oddFooter>&amp;C&amp;P</oddFooter>
  </headerFooter>
  <rowBreaks count="18" manualBreakCount="18">
    <brk id="58" max="255" man="1"/>
    <brk id="90" max="255" man="1"/>
    <brk id="94" max="255" man="1"/>
    <brk id="100" max="255" man="1"/>
    <brk id="104" max="255" man="1"/>
    <brk id="138" max="255" man="1"/>
    <brk id="183" max="255" man="1"/>
    <brk id="205" max="255" man="1"/>
    <brk id="227" max="255" man="1"/>
    <brk id="244" max="255" man="1"/>
    <brk id="248" max="255" man="1"/>
    <brk id="298" max="255" man="1"/>
    <brk id="302" max="255" man="1"/>
    <brk id="306" max="255" man="1"/>
    <brk id="394" max="255" man="1"/>
    <brk id="398" max="255" man="1"/>
    <brk id="403" max="255" man="1"/>
    <brk id="4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48031497" right="0" top="0.7874015748031497" bottom="0.7874015748031497" header="0.11811023622047245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SICI</cp:lastModifiedBy>
  <cp:lastPrinted>2005-03-17T07:02:45Z</cp:lastPrinted>
  <dcterms:created xsi:type="dcterms:W3CDTF">2000-05-01T09:00:38Z</dcterms:created>
  <dcterms:modified xsi:type="dcterms:W3CDTF">2017-03-30T13:46:43Z</dcterms:modified>
  <cp:category/>
  <cp:version/>
  <cp:contentType/>
  <cp:contentStatus/>
</cp:coreProperties>
</file>